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ry\Dropbox\Mongoose Traveller\Billion Credit Bounty\Robot Files\"/>
    </mc:Choice>
  </mc:AlternateContent>
  <xr:revisionPtr revIDLastSave="0" documentId="13_ncr:1_{59CF9BD4-FA46-477C-B532-E1BBD2E069A8}" xr6:coauthVersionLast="47" xr6:coauthVersionMax="47" xr10:uidLastSave="{00000000-0000-0000-0000-000000000000}"/>
  <bookViews>
    <workbookView xWindow="-98" yWindow="-98" windowWidth="28996" windowHeight="15675" tabRatio="899" firstSheet="9" activeTab="9" xr2:uid="{A9A0658E-614C-4F58-ACF1-A03289B972D7}"/>
  </bookViews>
  <sheets>
    <sheet name="Instructions" sheetId="127" r:id="rId1"/>
    <sheet name="Summary" sheetId="71" r:id="rId2"/>
    <sheet name="Blank" sheetId="139" r:id="rId3"/>
    <sheet name="Micro" sheetId="67" r:id="rId4"/>
    <sheet name="Chassis" sheetId="3" r:id="rId5"/>
    <sheet name="Brains" sheetId="5" r:id="rId6"/>
    <sheet name="Options" sheetId="1" r:id="rId7"/>
    <sheet name="Packages" sheetId="2" r:id="rId8"/>
    <sheet name="Notes" sheetId="18" r:id="rId9"/>
    <sheet name="Basic Admin Droid" sheetId="251" r:id="rId10"/>
    <sheet name="Improved Admin Droid" sheetId="243" r:id="rId11"/>
    <sheet name="Enhanced Admin Droid" sheetId="244" r:id="rId12"/>
    <sheet name="Advanced Admin Droid" sheetId="269" r:id="rId13"/>
    <sheet name="Basic Broker Droid" sheetId="270" r:id="rId14"/>
    <sheet name="Improved Broker Droid" sheetId="271" r:id="rId15"/>
    <sheet name="Enhanced Broker Droid" sheetId="272" r:id="rId16"/>
    <sheet name="Advanced Broker Droid" sheetId="274" r:id="rId17"/>
    <sheet name="Advanced Plus Broker Droid" sheetId="273" r:id="rId18"/>
    <sheet name="Basic Engineer Droid" sheetId="257" r:id="rId19"/>
    <sheet name="Improved Engineer Droid " sheetId="233" r:id="rId20"/>
    <sheet name="Enhanced Engineer Droid" sheetId="235" r:id="rId21"/>
    <sheet name="Advanced Engineer Droid" sheetId="236" r:id="rId22"/>
    <sheet name="Advanced Engineer Plus Droid" sheetId="275" r:id="rId23"/>
    <sheet name="Basic Gunner Droid" sheetId="185" r:id="rId24"/>
    <sheet name="Improved Gunner Droid" sheetId="247" r:id="rId25"/>
    <sheet name="Enhanced Gunner Droid" sheetId="252" r:id="rId26"/>
    <sheet name="Advanced Gunner Droid" sheetId="248" r:id="rId27"/>
    <sheet name="Basic Mechanic Droid" sheetId="253" r:id="rId28"/>
    <sheet name="Improved Mechanic Droid" sheetId="231" r:id="rId29"/>
    <sheet name="Enhanced Mechanic Droid" sheetId="254" r:id="rId30"/>
    <sheet name="Advanced Mechanic Droid" sheetId="256" r:id="rId31"/>
    <sheet name="Basic Medic Droid" sheetId="261" r:id="rId32"/>
    <sheet name="Improved Medic Droid" sheetId="262" r:id="rId33"/>
    <sheet name="Enhanced Medic Droid" sheetId="263" r:id="rId34"/>
    <sheet name="Advanced Medic Droid" sheetId="264" r:id="rId35"/>
    <sheet name="Basic Pilot Brain" sheetId="168" r:id="rId36"/>
    <sheet name="Improved Pilot Brain" sheetId="249" r:id="rId37"/>
    <sheet name="Enhanced Pilot Brain" sheetId="250" r:id="rId38"/>
    <sheet name="Advanced Pilot Brain" sheetId="191" r:id="rId39"/>
    <sheet name="Basic Steward Droid" sheetId="259" r:id="rId40"/>
    <sheet name="Improved Steward Droid" sheetId="265" r:id="rId41"/>
    <sheet name="Enhanced Steward Droid" sheetId="266" r:id="rId42"/>
    <sheet name="Advanced Steward Droid" sheetId="267" r:id="rId4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0" i="275" l="1"/>
  <c r="O90" i="275"/>
  <c r="K90" i="275"/>
  <c r="I90" i="275"/>
  <c r="G90" i="275"/>
  <c r="P89" i="275"/>
  <c r="O89" i="275"/>
  <c r="K89" i="275"/>
  <c r="I89" i="275"/>
  <c r="G89" i="275"/>
  <c r="P88" i="275"/>
  <c r="O88" i="275"/>
  <c r="K88" i="275"/>
  <c r="I88" i="275"/>
  <c r="G88" i="275"/>
  <c r="P87" i="275"/>
  <c r="O87" i="275"/>
  <c r="K87" i="275"/>
  <c r="I87" i="275"/>
  <c r="G87" i="275"/>
  <c r="P86" i="275"/>
  <c r="O86" i="275"/>
  <c r="K86" i="275"/>
  <c r="I86" i="275"/>
  <c r="G86" i="275"/>
  <c r="P85" i="275"/>
  <c r="O85" i="275"/>
  <c r="K85" i="275"/>
  <c r="I85" i="275"/>
  <c r="G85" i="275"/>
  <c r="P84" i="275"/>
  <c r="O84" i="275"/>
  <c r="K84" i="275"/>
  <c r="I84" i="275"/>
  <c r="G84" i="275"/>
  <c r="P83" i="275"/>
  <c r="O83" i="275"/>
  <c r="K83" i="275"/>
  <c r="I83" i="275"/>
  <c r="G83" i="275"/>
  <c r="P82" i="275"/>
  <c r="O82" i="275"/>
  <c r="K82" i="275"/>
  <c r="I82" i="275"/>
  <c r="G82" i="275"/>
  <c r="P81" i="275"/>
  <c r="O81" i="275"/>
  <c r="K81" i="275"/>
  <c r="I81" i="275"/>
  <c r="G81" i="275"/>
  <c r="P80" i="275"/>
  <c r="O80" i="275"/>
  <c r="K80" i="275"/>
  <c r="I80" i="275"/>
  <c r="G80" i="275"/>
  <c r="P79" i="275"/>
  <c r="O79" i="275"/>
  <c r="K79" i="275"/>
  <c r="I79" i="275"/>
  <c r="G79" i="275"/>
  <c r="P78" i="275"/>
  <c r="O78" i="275"/>
  <c r="K78" i="275"/>
  <c r="I78" i="275"/>
  <c r="G78" i="275"/>
  <c r="P77" i="275"/>
  <c r="O77" i="275"/>
  <c r="K77" i="275"/>
  <c r="I77" i="275"/>
  <c r="G77" i="275"/>
  <c r="P76" i="275"/>
  <c r="K76" i="275"/>
  <c r="I76" i="275"/>
  <c r="G76" i="275"/>
  <c r="P75" i="275"/>
  <c r="K75" i="275"/>
  <c r="I75" i="275"/>
  <c r="G75" i="275"/>
  <c r="P74" i="275"/>
  <c r="K74" i="275"/>
  <c r="I74" i="275"/>
  <c r="G74" i="275"/>
  <c r="P73" i="275"/>
  <c r="K73" i="275"/>
  <c r="I73" i="275"/>
  <c r="G73" i="275"/>
  <c r="P71" i="275"/>
  <c r="O71" i="275"/>
  <c r="K71" i="275"/>
  <c r="G71" i="275"/>
  <c r="P70" i="275"/>
  <c r="O70" i="275"/>
  <c r="N70" i="275"/>
  <c r="K70" i="275"/>
  <c r="G70" i="275"/>
  <c r="P69" i="275"/>
  <c r="O69" i="275"/>
  <c r="N69" i="275"/>
  <c r="K69" i="275"/>
  <c r="G69" i="275"/>
  <c r="N67" i="275"/>
  <c r="F66" i="275" a="1"/>
  <c r="F66" i="275" s="1"/>
  <c r="P65" i="275"/>
  <c r="K65" i="275"/>
  <c r="E65" i="275"/>
  <c r="O64" i="275"/>
  <c r="M64" i="275"/>
  <c r="L64" i="275"/>
  <c r="E64" i="275" s="1"/>
  <c r="K64" i="275"/>
  <c r="J64" i="275"/>
  <c r="H64" i="275"/>
  <c r="I64" i="275" s="1"/>
  <c r="P57" i="275"/>
  <c r="E57" i="275"/>
  <c r="O56" i="275"/>
  <c r="N56" i="275"/>
  <c r="L56" i="275"/>
  <c r="K56" i="275"/>
  <c r="H56" i="275"/>
  <c r="F56" i="275"/>
  <c r="P56" i="275" s="1"/>
  <c r="E56" i="275"/>
  <c r="P55" i="275"/>
  <c r="O55" i="275"/>
  <c r="N55" i="275"/>
  <c r="L55" i="275"/>
  <c r="K55" i="275"/>
  <c r="H55" i="275"/>
  <c r="F55" i="275"/>
  <c r="E55" i="275"/>
  <c r="O54" i="275"/>
  <c r="N54" i="275"/>
  <c r="L54" i="275"/>
  <c r="K54" i="275"/>
  <c r="H54" i="275"/>
  <c r="F54" i="275"/>
  <c r="P54" i="275" s="1"/>
  <c r="E54" i="275"/>
  <c r="O53" i="275"/>
  <c r="N53" i="275"/>
  <c r="L53" i="275"/>
  <c r="K53" i="275"/>
  <c r="H53" i="275"/>
  <c r="F53" i="275"/>
  <c r="P53" i="275" s="1"/>
  <c r="E53" i="275"/>
  <c r="P52" i="275"/>
  <c r="O52" i="275"/>
  <c r="N52" i="275"/>
  <c r="L52" i="275"/>
  <c r="K52" i="275"/>
  <c r="H52" i="275"/>
  <c r="F52" i="275"/>
  <c r="E52" i="275"/>
  <c r="O51" i="275"/>
  <c r="N51" i="275"/>
  <c r="L51" i="275"/>
  <c r="K51" i="275"/>
  <c r="H51" i="275"/>
  <c r="F51" i="275"/>
  <c r="P51" i="275" s="1"/>
  <c r="E51" i="275"/>
  <c r="O50" i="275"/>
  <c r="N50" i="275"/>
  <c r="L50" i="275"/>
  <c r="K50" i="275"/>
  <c r="H50" i="275"/>
  <c r="F50" i="275"/>
  <c r="P50" i="275" s="1"/>
  <c r="E50" i="275"/>
  <c r="P49" i="275"/>
  <c r="O49" i="275"/>
  <c r="N49" i="275"/>
  <c r="L49" i="275"/>
  <c r="K49" i="275"/>
  <c r="H49" i="275"/>
  <c r="F49" i="275"/>
  <c r="E49" i="275"/>
  <c r="O48" i="275"/>
  <c r="N48" i="275"/>
  <c r="L48" i="275"/>
  <c r="K48" i="275"/>
  <c r="H48" i="275"/>
  <c r="F48" i="275"/>
  <c r="P48" i="275" s="1"/>
  <c r="E48" i="275"/>
  <c r="O47" i="275"/>
  <c r="N47" i="275"/>
  <c r="L47" i="275"/>
  <c r="K47" i="275"/>
  <c r="H47" i="275"/>
  <c r="F47" i="275"/>
  <c r="P47" i="275" s="1"/>
  <c r="E47" i="275"/>
  <c r="P46" i="275"/>
  <c r="O46" i="275"/>
  <c r="N46" i="275"/>
  <c r="L46" i="275"/>
  <c r="K46" i="275"/>
  <c r="H46" i="275"/>
  <c r="F46" i="275"/>
  <c r="E46" i="275"/>
  <c r="O45" i="275"/>
  <c r="N45" i="275"/>
  <c r="L45" i="275"/>
  <c r="K45" i="275"/>
  <c r="H45" i="275"/>
  <c r="F45" i="275"/>
  <c r="P45" i="275" s="1"/>
  <c r="E45" i="275"/>
  <c r="O44" i="275"/>
  <c r="N44" i="275"/>
  <c r="L44" i="275"/>
  <c r="K44" i="275"/>
  <c r="H44" i="275"/>
  <c r="F44" i="275"/>
  <c r="P44" i="275" s="1"/>
  <c r="E44" i="275"/>
  <c r="O43" i="275"/>
  <c r="N43" i="275"/>
  <c r="L43" i="275"/>
  <c r="K43" i="275"/>
  <c r="H43" i="275"/>
  <c r="E43" i="275"/>
  <c r="O42" i="275"/>
  <c r="N42" i="275"/>
  <c r="L42" i="275"/>
  <c r="K42" i="275"/>
  <c r="H42" i="275"/>
  <c r="F42" i="275"/>
  <c r="P42" i="275" s="1"/>
  <c r="E42" i="275"/>
  <c r="O41" i="275"/>
  <c r="N41" i="275"/>
  <c r="L41" i="275"/>
  <c r="K41" i="275"/>
  <c r="H41" i="275"/>
  <c r="F41" i="275"/>
  <c r="P41" i="275" s="1"/>
  <c r="E41" i="275"/>
  <c r="P40" i="275"/>
  <c r="O40" i="275"/>
  <c r="N40" i="275"/>
  <c r="L40" i="275"/>
  <c r="K40" i="275"/>
  <c r="H40" i="275"/>
  <c r="F40" i="275"/>
  <c r="E40" i="275"/>
  <c r="O39" i="275"/>
  <c r="N39" i="275"/>
  <c r="L39" i="275"/>
  <c r="K39" i="275"/>
  <c r="H39" i="275"/>
  <c r="F39" i="275"/>
  <c r="P39" i="275" s="1"/>
  <c r="E39" i="275"/>
  <c r="O38" i="275"/>
  <c r="N38" i="275"/>
  <c r="L38" i="275"/>
  <c r="J7" i="275" s="1"/>
  <c r="K38" i="275"/>
  <c r="H38" i="275"/>
  <c r="F38" i="275"/>
  <c r="P38" i="275" s="1"/>
  <c r="E38" i="275"/>
  <c r="P37" i="275"/>
  <c r="O37" i="275"/>
  <c r="N37" i="275"/>
  <c r="L37" i="275"/>
  <c r="K37" i="275"/>
  <c r="H37" i="275"/>
  <c r="F37" i="275"/>
  <c r="E37" i="275"/>
  <c r="O36" i="275"/>
  <c r="N36" i="275"/>
  <c r="L36" i="275"/>
  <c r="K36" i="275"/>
  <c r="H36" i="275"/>
  <c r="F36" i="275"/>
  <c r="P36" i="275" s="1"/>
  <c r="E36" i="275"/>
  <c r="O34" i="275"/>
  <c r="N34" i="275"/>
  <c r="K34" i="275"/>
  <c r="H34" i="275"/>
  <c r="F34" i="275"/>
  <c r="P34" i="275" s="1"/>
  <c r="E34" i="275"/>
  <c r="P33" i="275"/>
  <c r="O33" i="275"/>
  <c r="N33" i="275"/>
  <c r="K33" i="275"/>
  <c r="H33" i="275"/>
  <c r="F33" i="275"/>
  <c r="E33" i="275"/>
  <c r="O32" i="275"/>
  <c r="N32" i="275"/>
  <c r="K32" i="275"/>
  <c r="H32" i="275"/>
  <c r="F32" i="275"/>
  <c r="P32" i="275" s="1"/>
  <c r="E32" i="275"/>
  <c r="P31" i="275"/>
  <c r="O31" i="275"/>
  <c r="N31" i="275"/>
  <c r="K31" i="275"/>
  <c r="H31" i="275"/>
  <c r="F31" i="275"/>
  <c r="E31" i="275"/>
  <c r="O30" i="275"/>
  <c r="N30" i="275"/>
  <c r="K30" i="275"/>
  <c r="H30" i="275"/>
  <c r="F30" i="275"/>
  <c r="P30" i="275" s="1"/>
  <c r="E30" i="275"/>
  <c r="P28" i="275"/>
  <c r="J28" i="275"/>
  <c r="D28" i="275"/>
  <c r="L28" i="275" s="1"/>
  <c r="M28" i="275" s="1"/>
  <c r="C28" i="275"/>
  <c r="H28" i="275" s="1"/>
  <c r="I28" i="275" s="1"/>
  <c r="O28" i="275" s="1"/>
  <c r="A28" i="275"/>
  <c r="P27" i="275"/>
  <c r="J27" i="275"/>
  <c r="D27" i="275"/>
  <c r="L27" i="275" s="1"/>
  <c r="M27" i="275" s="1"/>
  <c r="C27" i="275"/>
  <c r="F27" i="275" s="1"/>
  <c r="A27" i="275"/>
  <c r="P26" i="275"/>
  <c r="J26" i="275"/>
  <c r="E26" i="275" a="1"/>
  <c r="E26" i="275" s="1"/>
  <c r="D26" i="275"/>
  <c r="L26" i="275" s="1"/>
  <c r="M26" i="275" s="1"/>
  <c r="C26" i="275"/>
  <c r="H26" i="275" s="1"/>
  <c r="I26" i="275" s="1"/>
  <c r="O26" i="275" s="1"/>
  <c r="P25" i="275"/>
  <c r="J25" i="275"/>
  <c r="E25" i="275" a="1"/>
  <c r="E25" i="275" s="1"/>
  <c r="D25" i="275"/>
  <c r="L25" i="275" s="1"/>
  <c r="M25" i="275" s="1"/>
  <c r="C25" i="275"/>
  <c r="H25" i="275" s="1"/>
  <c r="I25" i="275" s="1"/>
  <c r="O25" i="275" s="1"/>
  <c r="P24" i="275"/>
  <c r="J24" i="275"/>
  <c r="E24" i="275" a="1"/>
  <c r="E24" i="275" s="1"/>
  <c r="D24" i="275"/>
  <c r="L24" i="275" s="1"/>
  <c r="M24" i="275" s="1"/>
  <c r="C24" i="275"/>
  <c r="H24" i="275" s="1"/>
  <c r="I24" i="275" s="1"/>
  <c r="O24" i="275" s="1"/>
  <c r="P23" i="275"/>
  <c r="J23" i="275"/>
  <c r="E23" i="275" a="1"/>
  <c r="E23" i="275" s="1"/>
  <c r="D23" i="275"/>
  <c r="L23" i="275" s="1"/>
  <c r="M23" i="275" s="1"/>
  <c r="C23" i="275"/>
  <c r="H23" i="275" s="1"/>
  <c r="I23" i="275" s="1"/>
  <c r="O23" i="275" s="1"/>
  <c r="P22" i="275"/>
  <c r="J22" i="275"/>
  <c r="E22" i="275" a="1"/>
  <c r="E22" i="275" s="1"/>
  <c r="D22" i="275"/>
  <c r="L22" i="275" s="1"/>
  <c r="M22" i="275" s="1"/>
  <c r="C22" i="275"/>
  <c r="H22" i="275" s="1"/>
  <c r="I22" i="275" s="1"/>
  <c r="O22" i="275" s="1"/>
  <c r="P21" i="275"/>
  <c r="J21" i="275"/>
  <c r="E21" i="275" a="1"/>
  <c r="E21" i="275" s="1"/>
  <c r="D21" i="275"/>
  <c r="L21" i="275" s="1"/>
  <c r="M21" i="275" s="1"/>
  <c r="C21" i="275"/>
  <c r="H21" i="275" s="1"/>
  <c r="I21" i="275" s="1"/>
  <c r="O21" i="275" s="1"/>
  <c r="P20" i="275"/>
  <c r="J20" i="275"/>
  <c r="D20" i="275"/>
  <c r="L20" i="275" s="1"/>
  <c r="M20" i="275" s="1"/>
  <c r="C20" i="275"/>
  <c r="H20" i="275" s="1"/>
  <c r="I20" i="275" s="1"/>
  <c r="O20" i="275" s="1"/>
  <c r="P19" i="275"/>
  <c r="J19" i="275"/>
  <c r="E19" i="275" a="1"/>
  <c r="E19" i="275" s="1"/>
  <c r="D19" i="275"/>
  <c r="L19" i="275" s="1"/>
  <c r="M19" i="275" s="1"/>
  <c r="C19" i="275"/>
  <c r="H19" i="275" s="1"/>
  <c r="P17" i="275"/>
  <c r="N17" i="275"/>
  <c r="S12" i="275" s="1"/>
  <c r="E17" i="275"/>
  <c r="P16" i="275"/>
  <c r="N16" i="275"/>
  <c r="E16" i="275"/>
  <c r="N15" i="275"/>
  <c r="J15" i="275"/>
  <c r="J16" i="275" s="1"/>
  <c r="E15" i="275"/>
  <c r="P15" i="275" s="1"/>
  <c r="S14" i="275"/>
  <c r="P14" i="275"/>
  <c r="J14" i="275"/>
  <c r="P13" i="275"/>
  <c r="O13" i="275"/>
  <c r="J13" i="275"/>
  <c r="P11" i="275"/>
  <c r="J11" i="275"/>
  <c r="M11" i="275" s="1"/>
  <c r="S6" i="275" s="1"/>
  <c r="P10" i="275"/>
  <c r="J10" i="275"/>
  <c r="E10" i="275"/>
  <c r="S9" i="275"/>
  <c r="O9" i="275"/>
  <c r="P8" i="275"/>
  <c r="J8" i="275"/>
  <c r="J9" i="275" s="1"/>
  <c r="N7" i="275"/>
  <c r="L7" i="275"/>
  <c r="F7" i="275"/>
  <c r="E7" i="275" a="1"/>
  <c r="E7" i="275" s="1"/>
  <c r="A7" i="275"/>
  <c r="X6" i="275"/>
  <c r="O92" i="275" s="1"/>
  <c r="V6" i="275"/>
  <c r="U6" i="275"/>
  <c r="T6" i="275"/>
  <c r="R6" i="275"/>
  <c r="P5" i="275"/>
  <c r="N5" i="275"/>
  <c r="M5" i="275"/>
  <c r="K5" i="275"/>
  <c r="J5" i="275"/>
  <c r="E5" i="275"/>
  <c r="N4" i="275"/>
  <c r="M4" i="275"/>
  <c r="J4" i="275"/>
  <c r="F4" i="275"/>
  <c r="E4" i="275"/>
  <c r="F43" i="275" s="1"/>
  <c r="P43" i="275" s="1"/>
  <c r="P90" i="274"/>
  <c r="O90" i="274"/>
  <c r="K90" i="274"/>
  <c r="I90" i="274"/>
  <c r="G90" i="274"/>
  <c r="P89" i="274"/>
  <c r="O89" i="274"/>
  <c r="K89" i="274"/>
  <c r="I89" i="274"/>
  <c r="G89" i="274"/>
  <c r="P88" i="274"/>
  <c r="O88" i="274"/>
  <c r="K88" i="274"/>
  <c r="I88" i="274"/>
  <c r="G88" i="274"/>
  <c r="P87" i="274"/>
  <c r="O87" i="274"/>
  <c r="K87" i="274"/>
  <c r="I87" i="274"/>
  <c r="G87" i="274"/>
  <c r="P86" i="274"/>
  <c r="O86" i="274"/>
  <c r="K86" i="274"/>
  <c r="I86" i="274"/>
  <c r="G86" i="274"/>
  <c r="P85" i="274"/>
  <c r="O85" i="274"/>
  <c r="K85" i="274"/>
  <c r="I85" i="274"/>
  <c r="G85" i="274"/>
  <c r="P84" i="274"/>
  <c r="O84" i="274"/>
  <c r="K84" i="274"/>
  <c r="I84" i="274"/>
  <c r="G84" i="274"/>
  <c r="P83" i="274"/>
  <c r="O83" i="274"/>
  <c r="K83" i="274"/>
  <c r="I83" i="274"/>
  <c r="G83" i="274"/>
  <c r="P82" i="274"/>
  <c r="O82" i="274"/>
  <c r="K82" i="274"/>
  <c r="I82" i="274"/>
  <c r="G82" i="274"/>
  <c r="P81" i="274"/>
  <c r="O81" i="274"/>
  <c r="K81" i="274"/>
  <c r="I81" i="274"/>
  <c r="G81" i="274"/>
  <c r="P80" i="274"/>
  <c r="O80" i="274"/>
  <c r="K80" i="274"/>
  <c r="I80" i="274"/>
  <c r="G80" i="274"/>
  <c r="P79" i="274"/>
  <c r="O79" i="274"/>
  <c r="K79" i="274"/>
  <c r="I79" i="274"/>
  <c r="G79" i="274"/>
  <c r="P78" i="274"/>
  <c r="K78" i="274"/>
  <c r="I78" i="274"/>
  <c r="G78" i="274"/>
  <c r="P77" i="274"/>
  <c r="K77" i="274"/>
  <c r="I77" i="274"/>
  <c r="G77" i="274"/>
  <c r="P76" i="274"/>
  <c r="K76" i="274"/>
  <c r="I76" i="274"/>
  <c r="G76" i="274"/>
  <c r="P75" i="274"/>
  <c r="K75" i="274"/>
  <c r="I75" i="274"/>
  <c r="G75" i="274"/>
  <c r="P74" i="274"/>
  <c r="K74" i="274"/>
  <c r="I74" i="274"/>
  <c r="G74" i="274"/>
  <c r="P73" i="274"/>
  <c r="K73" i="274"/>
  <c r="I73" i="274"/>
  <c r="G73" i="274"/>
  <c r="P71" i="274"/>
  <c r="O71" i="274"/>
  <c r="K71" i="274"/>
  <c r="G71" i="274"/>
  <c r="P70" i="274"/>
  <c r="O70" i="274"/>
  <c r="N70" i="274"/>
  <c r="K70" i="274"/>
  <c r="G70" i="274"/>
  <c r="P69" i="274"/>
  <c r="O69" i="274"/>
  <c r="N69" i="274"/>
  <c r="K69" i="274"/>
  <c r="G69" i="274"/>
  <c r="N67" i="274"/>
  <c r="H66" i="274"/>
  <c r="I66" i="274" s="1"/>
  <c r="F66" i="274" a="1"/>
  <c r="F66" i="274" s="1"/>
  <c r="P65" i="274"/>
  <c r="L65" i="274"/>
  <c r="L66" i="274" s="1"/>
  <c r="L67" i="274" s="1"/>
  <c r="K65" i="274"/>
  <c r="E65" i="274"/>
  <c r="O64" i="274"/>
  <c r="M64" i="274"/>
  <c r="L64" i="274"/>
  <c r="P64" i="274" s="1"/>
  <c r="K64" i="274"/>
  <c r="J64" i="274"/>
  <c r="J67" i="274" s="1"/>
  <c r="H64" i="274"/>
  <c r="I64" i="274" s="1"/>
  <c r="E64" i="274"/>
  <c r="E57" i="274"/>
  <c r="P57" i="274" s="1"/>
  <c r="O56" i="274"/>
  <c r="N56" i="274"/>
  <c r="L56" i="274"/>
  <c r="K56" i="274"/>
  <c r="H56" i="274"/>
  <c r="F56" i="274"/>
  <c r="P56" i="274" s="1"/>
  <c r="E56" i="274"/>
  <c r="P55" i="274"/>
  <c r="O55" i="274"/>
  <c r="N55" i="274"/>
  <c r="L55" i="274"/>
  <c r="K55" i="274"/>
  <c r="H55" i="274"/>
  <c r="F55" i="274"/>
  <c r="E55" i="274"/>
  <c r="O54" i="274"/>
  <c r="N54" i="274"/>
  <c r="L54" i="274"/>
  <c r="K54" i="274"/>
  <c r="H54" i="274"/>
  <c r="F54" i="274"/>
  <c r="P54" i="274" s="1"/>
  <c r="E54" i="274"/>
  <c r="O53" i="274"/>
  <c r="N53" i="274"/>
  <c r="L53" i="274"/>
  <c r="K53" i="274"/>
  <c r="H53" i="274"/>
  <c r="F53" i="274"/>
  <c r="P53" i="274" s="1"/>
  <c r="E53" i="274"/>
  <c r="P52" i="274"/>
  <c r="O52" i="274"/>
  <c r="N52" i="274"/>
  <c r="L52" i="274"/>
  <c r="K52" i="274"/>
  <c r="H52" i="274"/>
  <c r="F52" i="274"/>
  <c r="E52" i="274"/>
  <c r="O51" i="274"/>
  <c r="N51" i="274"/>
  <c r="L51" i="274"/>
  <c r="K51" i="274"/>
  <c r="H51" i="274"/>
  <c r="F51" i="274"/>
  <c r="P51" i="274" s="1"/>
  <c r="E51" i="274"/>
  <c r="O50" i="274"/>
  <c r="N50" i="274"/>
  <c r="L50" i="274"/>
  <c r="K50" i="274"/>
  <c r="H50" i="274"/>
  <c r="F50" i="274"/>
  <c r="P50" i="274" s="1"/>
  <c r="E50" i="274"/>
  <c r="P49" i="274"/>
  <c r="O49" i="274"/>
  <c r="N49" i="274"/>
  <c r="L49" i="274"/>
  <c r="K49" i="274"/>
  <c r="H49" i="274"/>
  <c r="F49" i="274"/>
  <c r="E49" i="274"/>
  <c r="O48" i="274"/>
  <c r="N48" i="274"/>
  <c r="L48" i="274"/>
  <c r="K48" i="274"/>
  <c r="H48" i="274"/>
  <c r="F48" i="274"/>
  <c r="P48" i="274" s="1"/>
  <c r="E48" i="274"/>
  <c r="O47" i="274"/>
  <c r="N47" i="274"/>
  <c r="L47" i="274"/>
  <c r="K47" i="274"/>
  <c r="H47" i="274"/>
  <c r="F47" i="274"/>
  <c r="P47" i="274" s="1"/>
  <c r="E47" i="274"/>
  <c r="P46" i="274"/>
  <c r="O46" i="274"/>
  <c r="N46" i="274"/>
  <c r="L46" i="274"/>
  <c r="K46" i="274"/>
  <c r="H46" i="274"/>
  <c r="F46" i="274"/>
  <c r="E46" i="274"/>
  <c r="O45" i="274"/>
  <c r="N45" i="274"/>
  <c r="L45" i="274"/>
  <c r="K45" i="274"/>
  <c r="H45" i="274"/>
  <c r="F45" i="274"/>
  <c r="P45" i="274" s="1"/>
  <c r="E45" i="274"/>
  <c r="O44" i="274"/>
  <c r="N44" i="274"/>
  <c r="L44" i="274"/>
  <c r="K44" i="274"/>
  <c r="H44" i="274"/>
  <c r="F44" i="274"/>
  <c r="P44" i="274" s="1"/>
  <c r="E44" i="274"/>
  <c r="P43" i="274"/>
  <c r="O43" i="274"/>
  <c r="N43" i="274"/>
  <c r="L43" i="274"/>
  <c r="K43" i="274"/>
  <c r="H43" i="274"/>
  <c r="F43" i="274"/>
  <c r="E43" i="274"/>
  <c r="O42" i="274"/>
  <c r="N42" i="274"/>
  <c r="L42" i="274"/>
  <c r="K42" i="274"/>
  <c r="H42" i="274"/>
  <c r="F42" i="274"/>
  <c r="P42" i="274" s="1"/>
  <c r="E42" i="274"/>
  <c r="O41" i="274"/>
  <c r="N41" i="274"/>
  <c r="L41" i="274"/>
  <c r="K41" i="274"/>
  <c r="H41" i="274"/>
  <c r="F41" i="274"/>
  <c r="P41" i="274" s="1"/>
  <c r="E41" i="274"/>
  <c r="P40" i="274"/>
  <c r="O40" i="274"/>
  <c r="N40" i="274"/>
  <c r="L40" i="274"/>
  <c r="K40" i="274"/>
  <c r="H40" i="274"/>
  <c r="F40" i="274"/>
  <c r="E40" i="274"/>
  <c r="O39" i="274"/>
  <c r="N39" i="274"/>
  <c r="L39" i="274"/>
  <c r="K39" i="274"/>
  <c r="H39" i="274"/>
  <c r="F39" i="274"/>
  <c r="P39" i="274" s="1"/>
  <c r="E39" i="274"/>
  <c r="O38" i="274"/>
  <c r="N38" i="274"/>
  <c r="L38" i="274"/>
  <c r="K38" i="274"/>
  <c r="H38" i="274"/>
  <c r="F38" i="274"/>
  <c r="P38" i="274" s="1"/>
  <c r="E38" i="274"/>
  <c r="P37" i="274"/>
  <c r="O37" i="274"/>
  <c r="N37" i="274"/>
  <c r="L37" i="274"/>
  <c r="K37" i="274"/>
  <c r="H37" i="274"/>
  <c r="F37" i="274"/>
  <c r="E37" i="274"/>
  <c r="O36" i="274"/>
  <c r="N36" i="274"/>
  <c r="L36" i="274"/>
  <c r="K36" i="274"/>
  <c r="H36" i="274"/>
  <c r="F36" i="274"/>
  <c r="P36" i="274" s="1"/>
  <c r="E36" i="274"/>
  <c r="O34" i="274"/>
  <c r="N34" i="274"/>
  <c r="K34" i="274"/>
  <c r="H34" i="274"/>
  <c r="F34" i="274"/>
  <c r="P34" i="274" s="1"/>
  <c r="E34" i="274"/>
  <c r="P33" i="274"/>
  <c r="O33" i="274"/>
  <c r="N33" i="274"/>
  <c r="K33" i="274"/>
  <c r="H33" i="274"/>
  <c r="F33" i="274"/>
  <c r="E33" i="274"/>
  <c r="O32" i="274"/>
  <c r="N32" i="274"/>
  <c r="K32" i="274"/>
  <c r="H32" i="274"/>
  <c r="F32" i="274"/>
  <c r="P32" i="274" s="1"/>
  <c r="E32" i="274"/>
  <c r="P31" i="274"/>
  <c r="O31" i="274"/>
  <c r="N31" i="274"/>
  <c r="K31" i="274"/>
  <c r="H31" i="274"/>
  <c r="F31" i="274"/>
  <c r="E31" i="274"/>
  <c r="O30" i="274"/>
  <c r="N30" i="274"/>
  <c r="K30" i="274"/>
  <c r="H30" i="274"/>
  <c r="F30" i="274"/>
  <c r="P30" i="274" s="1"/>
  <c r="E30" i="274"/>
  <c r="P28" i="274"/>
  <c r="J28" i="274"/>
  <c r="D28" i="274"/>
  <c r="L28" i="274" s="1"/>
  <c r="M28" i="274" s="1"/>
  <c r="C28" i="274"/>
  <c r="H28" i="274" s="1"/>
  <c r="I28" i="274" s="1"/>
  <c r="O28" i="274" s="1"/>
  <c r="A28" i="274"/>
  <c r="P27" i="274"/>
  <c r="J27" i="274"/>
  <c r="D27" i="274"/>
  <c r="L27" i="274" s="1"/>
  <c r="M27" i="274" s="1"/>
  <c r="C27" i="274"/>
  <c r="F27" i="274" s="1"/>
  <c r="A27" i="274"/>
  <c r="P26" i="274"/>
  <c r="J26" i="274"/>
  <c r="E26" i="274" a="1"/>
  <c r="E26" i="274" s="1"/>
  <c r="D26" i="274"/>
  <c r="L26" i="274" s="1"/>
  <c r="M26" i="274" s="1"/>
  <c r="C26" i="274"/>
  <c r="H26" i="274" s="1"/>
  <c r="I26" i="274" s="1"/>
  <c r="O26" i="274" s="1"/>
  <c r="P25" i="274"/>
  <c r="J25" i="274"/>
  <c r="E25" i="274" a="1"/>
  <c r="E25" i="274" s="1"/>
  <c r="D25" i="274"/>
  <c r="L25" i="274" s="1"/>
  <c r="M25" i="274" s="1"/>
  <c r="C25" i="274"/>
  <c r="H25" i="274" s="1"/>
  <c r="I25" i="274" s="1"/>
  <c r="O25" i="274" s="1"/>
  <c r="P24" i="274"/>
  <c r="J24" i="274"/>
  <c r="E24" i="274" a="1"/>
  <c r="E24" i="274" s="1"/>
  <c r="D24" i="274"/>
  <c r="L24" i="274" s="1"/>
  <c r="M24" i="274" s="1"/>
  <c r="C24" i="274"/>
  <c r="H24" i="274" s="1"/>
  <c r="I24" i="274" s="1"/>
  <c r="O24" i="274" s="1"/>
  <c r="P23" i="274"/>
  <c r="J23" i="274"/>
  <c r="E23" i="274" a="1"/>
  <c r="E23" i="274" s="1"/>
  <c r="D23" i="274"/>
  <c r="L23" i="274" s="1"/>
  <c r="M23" i="274" s="1"/>
  <c r="C23" i="274"/>
  <c r="H23" i="274" s="1"/>
  <c r="I23" i="274" s="1"/>
  <c r="O23" i="274" s="1"/>
  <c r="P22" i="274"/>
  <c r="J22" i="274"/>
  <c r="E22" i="274" a="1"/>
  <c r="E22" i="274" s="1"/>
  <c r="D22" i="274"/>
  <c r="L22" i="274" s="1"/>
  <c r="M22" i="274" s="1"/>
  <c r="C22" i="274"/>
  <c r="H22" i="274" s="1"/>
  <c r="I22" i="274" s="1"/>
  <c r="O22" i="274" s="1"/>
  <c r="P21" i="274"/>
  <c r="J21" i="274"/>
  <c r="E21" i="274" a="1"/>
  <c r="E21" i="274" s="1"/>
  <c r="D21" i="274"/>
  <c r="L21" i="274" s="1"/>
  <c r="M21" i="274" s="1"/>
  <c r="C21" i="274"/>
  <c r="H21" i="274" s="1"/>
  <c r="I21" i="274" s="1"/>
  <c r="O21" i="274" s="1"/>
  <c r="P20" i="274"/>
  <c r="J20" i="274"/>
  <c r="E20" i="274" a="1"/>
  <c r="E20" i="274" s="1"/>
  <c r="D20" i="274"/>
  <c r="L20" i="274" s="1"/>
  <c r="M20" i="274" s="1"/>
  <c r="C20" i="274"/>
  <c r="H20" i="274" s="1"/>
  <c r="I20" i="274" s="1"/>
  <c r="O20" i="274" s="1"/>
  <c r="P19" i="274"/>
  <c r="J19" i="274"/>
  <c r="E19" i="274" a="1"/>
  <c r="E19" i="274" s="1"/>
  <c r="D19" i="274"/>
  <c r="L19" i="274" s="1"/>
  <c r="M19" i="274" s="1"/>
  <c r="C19" i="274"/>
  <c r="H19" i="274" s="1"/>
  <c r="P17" i="274"/>
  <c r="N17" i="274"/>
  <c r="E17" i="274"/>
  <c r="P16" i="274"/>
  <c r="N16" i="274"/>
  <c r="E16" i="274"/>
  <c r="N15" i="274"/>
  <c r="J15" i="274"/>
  <c r="J16" i="274" s="1"/>
  <c r="E15" i="274"/>
  <c r="P15" i="274" s="1"/>
  <c r="S14" i="274"/>
  <c r="P14" i="274"/>
  <c r="J14" i="274"/>
  <c r="P13" i="274"/>
  <c r="O13" i="274"/>
  <c r="J13" i="274"/>
  <c r="P11" i="274"/>
  <c r="J11" i="274"/>
  <c r="M11" i="274" s="1"/>
  <c r="S6" i="274" s="1"/>
  <c r="P10" i="274"/>
  <c r="J10" i="274"/>
  <c r="E10" i="274"/>
  <c r="S9" i="274"/>
  <c r="O9" i="274"/>
  <c r="E9" i="274"/>
  <c r="P9" i="274" s="1"/>
  <c r="P8" i="274"/>
  <c r="J8" i="274"/>
  <c r="J9" i="274" s="1"/>
  <c r="N7" i="274"/>
  <c r="S12" i="274" s="1"/>
  <c r="L7" i="274"/>
  <c r="F7" i="274"/>
  <c r="E7" i="274" a="1"/>
  <c r="E7" i="274" s="1"/>
  <c r="P7" i="274" s="1" a="1"/>
  <c r="P7" i="274" s="1"/>
  <c r="A7" i="274"/>
  <c r="X6" i="274"/>
  <c r="O92" i="274" s="1"/>
  <c r="V6" i="274"/>
  <c r="U6" i="274"/>
  <c r="T6" i="274"/>
  <c r="R6" i="274"/>
  <c r="P5" i="274"/>
  <c r="N5" i="274"/>
  <c r="M5" i="274"/>
  <c r="K5" i="274"/>
  <c r="J5" i="274"/>
  <c r="E5" i="274"/>
  <c r="N4" i="274"/>
  <c r="M4" i="274"/>
  <c r="J4" i="274"/>
  <c r="F4" i="274"/>
  <c r="E4" i="274"/>
  <c r="P90" i="273"/>
  <c r="O90" i="273"/>
  <c r="K90" i="273"/>
  <c r="I90" i="273"/>
  <c r="G90" i="273"/>
  <c r="P89" i="273"/>
  <c r="O89" i="273"/>
  <c r="K89" i="273"/>
  <c r="I89" i="273"/>
  <c r="G89" i="273"/>
  <c r="P88" i="273"/>
  <c r="O88" i="273"/>
  <c r="K88" i="273"/>
  <c r="I88" i="273"/>
  <c r="G88" i="273"/>
  <c r="P87" i="273"/>
  <c r="O87" i="273"/>
  <c r="K87" i="273"/>
  <c r="I87" i="273"/>
  <c r="G87" i="273"/>
  <c r="P86" i="273"/>
  <c r="O86" i="273"/>
  <c r="K86" i="273"/>
  <c r="I86" i="273"/>
  <c r="G86" i="273"/>
  <c r="P85" i="273"/>
  <c r="O85" i="273"/>
  <c r="K85" i="273"/>
  <c r="I85" i="273"/>
  <c r="G85" i="273"/>
  <c r="P84" i="273"/>
  <c r="O84" i="273"/>
  <c r="K84" i="273"/>
  <c r="I84" i="273"/>
  <c r="G84" i="273"/>
  <c r="P83" i="273"/>
  <c r="O83" i="273"/>
  <c r="K83" i="273"/>
  <c r="I83" i="273"/>
  <c r="G83" i="273"/>
  <c r="P82" i="273"/>
  <c r="O82" i="273"/>
  <c r="K82" i="273"/>
  <c r="I82" i="273"/>
  <c r="G82" i="273"/>
  <c r="P81" i="273"/>
  <c r="O81" i="273"/>
  <c r="K81" i="273"/>
  <c r="I81" i="273"/>
  <c r="G81" i="273"/>
  <c r="P80" i="273"/>
  <c r="O80" i="273"/>
  <c r="K80" i="273"/>
  <c r="I80" i="273"/>
  <c r="G80" i="273"/>
  <c r="P79" i="273"/>
  <c r="O79" i="273"/>
  <c r="K79" i="273"/>
  <c r="I79" i="273"/>
  <c r="G79" i="273"/>
  <c r="P78" i="273"/>
  <c r="K78" i="273"/>
  <c r="I78" i="273"/>
  <c r="G78" i="273"/>
  <c r="P77" i="273"/>
  <c r="K77" i="273"/>
  <c r="I77" i="273"/>
  <c r="G77" i="273"/>
  <c r="P76" i="273"/>
  <c r="K76" i="273"/>
  <c r="I76" i="273"/>
  <c r="G76" i="273"/>
  <c r="P75" i="273"/>
  <c r="K75" i="273"/>
  <c r="I75" i="273"/>
  <c r="G75" i="273"/>
  <c r="P74" i="273"/>
  <c r="K74" i="273"/>
  <c r="I74" i="273"/>
  <c r="G74" i="273"/>
  <c r="P73" i="273"/>
  <c r="K73" i="273"/>
  <c r="I73" i="273"/>
  <c r="G73" i="273"/>
  <c r="P71" i="273"/>
  <c r="O71" i="273"/>
  <c r="K71" i="273"/>
  <c r="G71" i="273"/>
  <c r="P70" i="273"/>
  <c r="O70" i="273"/>
  <c r="N70" i="273"/>
  <c r="K70" i="273"/>
  <c r="G70" i="273"/>
  <c r="P69" i="273"/>
  <c r="O69" i="273"/>
  <c r="N69" i="273"/>
  <c r="K69" i="273"/>
  <c r="G69" i="273"/>
  <c r="N67" i="273"/>
  <c r="F66" i="273" a="1"/>
  <c r="F66" i="273" s="1"/>
  <c r="P65" i="273"/>
  <c r="K65" i="273"/>
  <c r="E65" i="273"/>
  <c r="O64" i="273"/>
  <c r="M64" i="273"/>
  <c r="L64" i="273"/>
  <c r="L65" i="273" s="1"/>
  <c r="K64" i="273"/>
  <c r="E64" i="273" s="1"/>
  <c r="J64" i="273"/>
  <c r="H64" i="273"/>
  <c r="I64" i="273" s="1"/>
  <c r="E57" i="273"/>
  <c r="P57" i="273" s="1"/>
  <c r="O56" i="273"/>
  <c r="N56" i="273"/>
  <c r="L56" i="273"/>
  <c r="K56" i="273"/>
  <c r="H56" i="273"/>
  <c r="F56" i="273"/>
  <c r="P56" i="273" s="1"/>
  <c r="E56" i="273"/>
  <c r="P55" i="273"/>
  <c r="O55" i="273"/>
  <c r="N55" i="273"/>
  <c r="L55" i="273"/>
  <c r="K55" i="273"/>
  <c r="H55" i="273"/>
  <c r="F55" i="273"/>
  <c r="E55" i="273"/>
  <c r="O54" i="273"/>
  <c r="N54" i="273"/>
  <c r="L54" i="273"/>
  <c r="K54" i="273"/>
  <c r="H54" i="273"/>
  <c r="F54" i="273"/>
  <c r="P54" i="273" s="1"/>
  <c r="E54" i="273"/>
  <c r="O53" i="273"/>
  <c r="N53" i="273"/>
  <c r="L53" i="273"/>
  <c r="K53" i="273"/>
  <c r="H53" i="273"/>
  <c r="F53" i="273"/>
  <c r="P53" i="273" s="1"/>
  <c r="E53" i="273"/>
  <c r="P52" i="273"/>
  <c r="O52" i="273"/>
  <c r="N52" i="273"/>
  <c r="L52" i="273"/>
  <c r="K52" i="273"/>
  <c r="H52" i="273"/>
  <c r="F52" i="273"/>
  <c r="E52" i="273"/>
  <c r="O51" i="273"/>
  <c r="N51" i="273"/>
  <c r="L51" i="273"/>
  <c r="K51" i="273"/>
  <c r="H51" i="273"/>
  <c r="F51" i="273"/>
  <c r="P51" i="273" s="1"/>
  <c r="E51" i="273"/>
  <c r="O50" i="273"/>
  <c r="N50" i="273"/>
  <c r="L50" i="273"/>
  <c r="K50" i="273"/>
  <c r="H50" i="273"/>
  <c r="F50" i="273"/>
  <c r="P50" i="273" s="1"/>
  <c r="E50" i="273"/>
  <c r="P49" i="273"/>
  <c r="O49" i="273"/>
  <c r="N49" i="273"/>
  <c r="L49" i="273"/>
  <c r="K49" i="273"/>
  <c r="H49" i="273"/>
  <c r="F49" i="273"/>
  <c r="E49" i="273"/>
  <c r="O48" i="273"/>
  <c r="N48" i="273"/>
  <c r="L48" i="273"/>
  <c r="K48" i="273"/>
  <c r="H48" i="273"/>
  <c r="F48" i="273"/>
  <c r="P48" i="273" s="1"/>
  <c r="E48" i="273"/>
  <c r="O47" i="273"/>
  <c r="N47" i="273"/>
  <c r="L47" i="273"/>
  <c r="K47" i="273"/>
  <c r="H47" i="273"/>
  <c r="F47" i="273"/>
  <c r="P47" i="273" s="1"/>
  <c r="E47" i="273"/>
  <c r="P46" i="273"/>
  <c r="O46" i="273"/>
  <c r="N46" i="273"/>
  <c r="L46" i="273"/>
  <c r="K46" i="273"/>
  <c r="H46" i="273"/>
  <c r="F46" i="273"/>
  <c r="E46" i="273"/>
  <c r="O45" i="273"/>
  <c r="N45" i="273"/>
  <c r="L45" i="273"/>
  <c r="K45" i="273"/>
  <c r="H45" i="273"/>
  <c r="F45" i="273"/>
  <c r="P45" i="273" s="1"/>
  <c r="E45" i="273"/>
  <c r="O44" i="273"/>
  <c r="N44" i="273"/>
  <c r="L44" i="273"/>
  <c r="K44" i="273"/>
  <c r="H44" i="273"/>
  <c r="F44" i="273"/>
  <c r="P44" i="273" s="1"/>
  <c r="E44" i="273"/>
  <c r="P43" i="273"/>
  <c r="O43" i="273"/>
  <c r="N43" i="273"/>
  <c r="L43" i="273"/>
  <c r="K43" i="273"/>
  <c r="H43" i="273"/>
  <c r="F43" i="273"/>
  <c r="E43" i="273"/>
  <c r="O42" i="273"/>
  <c r="N42" i="273"/>
  <c r="L42" i="273"/>
  <c r="K42" i="273"/>
  <c r="H42" i="273"/>
  <c r="E42" i="273"/>
  <c r="O41" i="273"/>
  <c r="N41" i="273"/>
  <c r="L41" i="273"/>
  <c r="K41" i="273"/>
  <c r="H41" i="273"/>
  <c r="F41" i="273"/>
  <c r="P41" i="273" s="1"/>
  <c r="E41" i="273"/>
  <c r="P40" i="273"/>
  <c r="O40" i="273"/>
  <c r="N40" i="273"/>
  <c r="L40" i="273"/>
  <c r="K40" i="273"/>
  <c r="H40" i="273"/>
  <c r="F40" i="273"/>
  <c r="E40" i="273"/>
  <c r="O39" i="273"/>
  <c r="N39" i="273"/>
  <c r="L39" i="273"/>
  <c r="A7" i="273" s="1"/>
  <c r="K39" i="273"/>
  <c r="H39" i="273"/>
  <c r="F39" i="273"/>
  <c r="P39" i="273" s="1"/>
  <c r="E39" i="273"/>
  <c r="O38" i="273"/>
  <c r="N38" i="273"/>
  <c r="L38" i="273"/>
  <c r="K38" i="273"/>
  <c r="H38" i="273"/>
  <c r="F38" i="273"/>
  <c r="P38" i="273" s="1"/>
  <c r="E38" i="273"/>
  <c r="P37" i="273"/>
  <c r="O37" i="273"/>
  <c r="N37" i="273"/>
  <c r="L37" i="273"/>
  <c r="K37" i="273"/>
  <c r="H37" i="273"/>
  <c r="F37" i="273"/>
  <c r="E37" i="273"/>
  <c r="O36" i="273"/>
  <c r="N36" i="273"/>
  <c r="L36" i="273"/>
  <c r="N7" i="273" s="1"/>
  <c r="S12" i="273" s="1"/>
  <c r="K36" i="273"/>
  <c r="H36" i="273"/>
  <c r="F36" i="273"/>
  <c r="P36" i="273" s="1"/>
  <c r="E36" i="273"/>
  <c r="P34" i="273"/>
  <c r="O34" i="273"/>
  <c r="N34" i="273"/>
  <c r="K34" i="273"/>
  <c r="H34" i="273"/>
  <c r="F34" i="273"/>
  <c r="E34" i="273"/>
  <c r="P33" i="273"/>
  <c r="O33" i="273"/>
  <c r="N33" i="273"/>
  <c r="K33" i="273"/>
  <c r="H33" i="273"/>
  <c r="F33" i="273"/>
  <c r="E33" i="273"/>
  <c r="O32" i="273"/>
  <c r="N32" i="273"/>
  <c r="K32" i="273"/>
  <c r="H32" i="273"/>
  <c r="F32" i="273"/>
  <c r="P32" i="273" s="1"/>
  <c r="E32" i="273"/>
  <c r="P31" i="273"/>
  <c r="O31" i="273"/>
  <c r="N31" i="273"/>
  <c r="K31" i="273"/>
  <c r="H31" i="273"/>
  <c r="F31" i="273"/>
  <c r="E31" i="273"/>
  <c r="O30" i="273"/>
  <c r="N30" i="273"/>
  <c r="K30" i="273"/>
  <c r="H30" i="273"/>
  <c r="F30" i="273"/>
  <c r="P30" i="273" s="1"/>
  <c r="E30" i="273"/>
  <c r="P28" i="273"/>
  <c r="J28" i="273"/>
  <c r="D28" i="273"/>
  <c r="L28" i="273" s="1"/>
  <c r="M28" i="273" s="1"/>
  <c r="C28" i="273"/>
  <c r="H28" i="273" s="1"/>
  <c r="I28" i="273" s="1"/>
  <c r="O28" i="273" s="1"/>
  <c r="A28" i="273"/>
  <c r="P27" i="273"/>
  <c r="J27" i="273"/>
  <c r="D27" i="273"/>
  <c r="L27" i="273" s="1"/>
  <c r="M27" i="273" s="1"/>
  <c r="C27" i="273"/>
  <c r="H27" i="273" s="1"/>
  <c r="I27" i="273" s="1"/>
  <c r="O27" i="273" s="1"/>
  <c r="A27" i="273"/>
  <c r="P26" i="273"/>
  <c r="J26" i="273"/>
  <c r="E26" i="273" a="1"/>
  <c r="E26" i="273" s="1"/>
  <c r="D26" i="273"/>
  <c r="L26" i="273" s="1"/>
  <c r="M26" i="273" s="1"/>
  <c r="C26" i="273"/>
  <c r="F26" i="273" s="1"/>
  <c r="P25" i="273"/>
  <c r="J25" i="273"/>
  <c r="F25" i="273"/>
  <c r="E25" i="273" a="1"/>
  <c r="E25" i="273" s="1"/>
  <c r="D25" i="273"/>
  <c r="L25" i="273" s="1"/>
  <c r="M25" i="273" s="1"/>
  <c r="C25" i="273"/>
  <c r="H25" i="273" s="1"/>
  <c r="I25" i="273" s="1"/>
  <c r="O25" i="273" s="1"/>
  <c r="P24" i="273"/>
  <c r="J24" i="273"/>
  <c r="E24" i="273" a="1"/>
  <c r="E24" i="273" s="1"/>
  <c r="D24" i="273"/>
  <c r="L24" i="273" s="1"/>
  <c r="M24" i="273" s="1"/>
  <c r="C24" i="273"/>
  <c r="H24" i="273" s="1"/>
  <c r="I24" i="273" s="1"/>
  <c r="O24" i="273" s="1"/>
  <c r="P23" i="273"/>
  <c r="J23" i="273"/>
  <c r="F23" i="273"/>
  <c r="E23" i="273"/>
  <c r="E23" i="273" a="1"/>
  <c r="D23" i="273"/>
  <c r="L23" i="273" s="1"/>
  <c r="M23" i="273" s="1"/>
  <c r="C23" i="273"/>
  <c r="H23" i="273" s="1"/>
  <c r="I23" i="273" s="1"/>
  <c r="O23" i="273" s="1"/>
  <c r="P22" i="273"/>
  <c r="J22" i="273"/>
  <c r="E22" i="273" a="1"/>
  <c r="E22" i="273" s="1"/>
  <c r="D22" i="273"/>
  <c r="L22" i="273" s="1"/>
  <c r="M22" i="273" s="1"/>
  <c r="C22" i="273"/>
  <c r="H22" i="273" s="1"/>
  <c r="I22" i="273" s="1"/>
  <c r="O22" i="273" s="1"/>
  <c r="P21" i="273"/>
  <c r="J21" i="273"/>
  <c r="F21" i="273"/>
  <c r="E21" i="273" a="1"/>
  <c r="E21" i="273" s="1"/>
  <c r="D21" i="273"/>
  <c r="L21" i="273" s="1"/>
  <c r="M21" i="273" s="1"/>
  <c r="C21" i="273"/>
  <c r="H21" i="273" s="1"/>
  <c r="I21" i="273" s="1"/>
  <c r="O21" i="273" s="1"/>
  <c r="P20" i="273"/>
  <c r="J20" i="273"/>
  <c r="D20" i="273"/>
  <c r="L20" i="273" s="1"/>
  <c r="M20" i="273" s="1"/>
  <c r="C20" i="273"/>
  <c r="H20" i="273" s="1"/>
  <c r="I20" i="273" s="1"/>
  <c r="O20" i="273" s="1"/>
  <c r="P19" i="273"/>
  <c r="J19" i="273"/>
  <c r="F19" i="273"/>
  <c r="E19" i="273"/>
  <c r="E19" i="273" a="1"/>
  <c r="D19" i="273"/>
  <c r="L19" i="273" s="1"/>
  <c r="M19" i="273" s="1"/>
  <c r="C19" i="273"/>
  <c r="H19" i="273" s="1"/>
  <c r="P17" i="273"/>
  <c r="N17" i="273"/>
  <c r="E17" i="273"/>
  <c r="P16" i="273"/>
  <c r="N16" i="273"/>
  <c r="E16" i="273"/>
  <c r="N15" i="273"/>
  <c r="J15" i="273"/>
  <c r="J16" i="273" s="1"/>
  <c r="E15" i="273"/>
  <c r="P15" i="273" s="1"/>
  <c r="S14" i="273"/>
  <c r="P14" i="273"/>
  <c r="J14" i="273"/>
  <c r="P13" i="273"/>
  <c r="O13" i="273"/>
  <c r="J13" i="273"/>
  <c r="P11" i="273"/>
  <c r="M11" i="273"/>
  <c r="S6" i="273" s="1"/>
  <c r="J11" i="273"/>
  <c r="P10" i="273"/>
  <c r="J10" i="273"/>
  <c r="E10" i="273"/>
  <c r="S9" i="273"/>
  <c r="O9" i="273"/>
  <c r="P8" i="273"/>
  <c r="J8" i="273"/>
  <c r="J9" i="273" s="1"/>
  <c r="L7" i="273"/>
  <c r="F7" i="273"/>
  <c r="X6" i="273"/>
  <c r="O92" i="273" s="1"/>
  <c r="V6" i="273"/>
  <c r="U6" i="273"/>
  <c r="T6" i="273"/>
  <c r="R6" i="273"/>
  <c r="P5" i="273"/>
  <c r="N5" i="273"/>
  <c r="M5" i="273"/>
  <c r="K5" i="273"/>
  <c r="J5" i="273"/>
  <c r="E5" i="273"/>
  <c r="N4" i="273"/>
  <c r="M4" i="273"/>
  <c r="J4" i="273"/>
  <c r="F4" i="273"/>
  <c r="E4" i="273"/>
  <c r="E9" i="273" s="1"/>
  <c r="P9" i="273" s="1"/>
  <c r="P90" i="272"/>
  <c r="O90" i="272"/>
  <c r="K90" i="272"/>
  <c r="I90" i="272"/>
  <c r="G90" i="272"/>
  <c r="P89" i="272"/>
  <c r="O89" i="272"/>
  <c r="K89" i="272"/>
  <c r="I89" i="272"/>
  <c r="G89" i="272"/>
  <c r="P88" i="272"/>
  <c r="O88" i="272"/>
  <c r="K88" i="272"/>
  <c r="I88" i="272"/>
  <c r="G88" i="272"/>
  <c r="P87" i="272"/>
  <c r="O87" i="272"/>
  <c r="K87" i="272"/>
  <c r="I87" i="272"/>
  <c r="G87" i="272"/>
  <c r="P86" i="272"/>
  <c r="O86" i="272"/>
  <c r="K86" i="272"/>
  <c r="I86" i="272"/>
  <c r="G86" i="272"/>
  <c r="P85" i="272"/>
  <c r="O85" i="272"/>
  <c r="K85" i="272"/>
  <c r="I85" i="272"/>
  <c r="G85" i="272"/>
  <c r="P84" i="272"/>
  <c r="O84" i="272"/>
  <c r="K84" i="272"/>
  <c r="I84" i="272"/>
  <c r="G84" i="272"/>
  <c r="P83" i="272"/>
  <c r="O83" i="272"/>
  <c r="K83" i="272"/>
  <c r="I83" i="272"/>
  <c r="G83" i="272"/>
  <c r="P82" i="272"/>
  <c r="O82" i="272"/>
  <c r="K82" i="272"/>
  <c r="I82" i="272"/>
  <c r="G82" i="272"/>
  <c r="P81" i="272"/>
  <c r="O81" i="272"/>
  <c r="K81" i="272"/>
  <c r="I81" i="272"/>
  <c r="G81" i="272"/>
  <c r="P80" i="272"/>
  <c r="O80" i="272"/>
  <c r="K80" i="272"/>
  <c r="I80" i="272"/>
  <c r="G80" i="272"/>
  <c r="P79" i="272"/>
  <c r="O79" i="272"/>
  <c r="K79" i="272"/>
  <c r="I79" i="272"/>
  <c r="G79" i="272"/>
  <c r="P78" i="272"/>
  <c r="K78" i="272"/>
  <c r="I78" i="272"/>
  <c r="G78" i="272"/>
  <c r="P77" i="272"/>
  <c r="K77" i="272"/>
  <c r="I77" i="272"/>
  <c r="G77" i="272"/>
  <c r="P76" i="272"/>
  <c r="K76" i="272"/>
  <c r="I76" i="272"/>
  <c r="G76" i="272"/>
  <c r="P75" i="272"/>
  <c r="K75" i="272"/>
  <c r="I75" i="272"/>
  <c r="G75" i="272"/>
  <c r="P74" i="272"/>
  <c r="K74" i="272"/>
  <c r="I74" i="272"/>
  <c r="G74" i="272"/>
  <c r="P73" i="272"/>
  <c r="K73" i="272"/>
  <c r="I73" i="272"/>
  <c r="G73" i="272"/>
  <c r="P71" i="272"/>
  <c r="O71" i="272"/>
  <c r="K71" i="272"/>
  <c r="G71" i="272"/>
  <c r="P70" i="272"/>
  <c r="O70" i="272"/>
  <c r="N70" i="272"/>
  <c r="K70" i="272"/>
  <c r="G70" i="272"/>
  <c r="P69" i="272"/>
  <c r="O69" i="272"/>
  <c r="N69" i="272"/>
  <c r="K69" i="272"/>
  <c r="G69" i="272"/>
  <c r="N67" i="272"/>
  <c r="F66" i="272" a="1"/>
  <c r="F66" i="272" s="1"/>
  <c r="P65" i="272"/>
  <c r="K65" i="272"/>
  <c r="E65" i="272"/>
  <c r="O64" i="272"/>
  <c r="M64" i="272"/>
  <c r="L64" i="272"/>
  <c r="E64" i="272" s="1"/>
  <c r="K64" i="272"/>
  <c r="J64" i="272"/>
  <c r="H64" i="272"/>
  <c r="I64" i="272" s="1"/>
  <c r="E57" i="272"/>
  <c r="P57" i="272" s="1"/>
  <c r="O56" i="272"/>
  <c r="N56" i="272"/>
  <c r="L56" i="272"/>
  <c r="K56" i="272"/>
  <c r="H56" i="272"/>
  <c r="F56" i="272"/>
  <c r="P56" i="272" s="1"/>
  <c r="E56" i="272"/>
  <c r="P55" i="272"/>
  <c r="O55" i="272"/>
  <c r="N55" i="272"/>
  <c r="L55" i="272"/>
  <c r="K55" i="272"/>
  <c r="H55" i="272"/>
  <c r="F55" i="272"/>
  <c r="E55" i="272"/>
  <c r="O54" i="272"/>
  <c r="N54" i="272"/>
  <c r="L54" i="272"/>
  <c r="K54" i="272"/>
  <c r="H54" i="272"/>
  <c r="F54" i="272"/>
  <c r="P54" i="272" s="1"/>
  <c r="E54" i="272"/>
  <c r="O53" i="272"/>
  <c r="N53" i="272"/>
  <c r="L53" i="272"/>
  <c r="K53" i="272"/>
  <c r="H53" i="272"/>
  <c r="F53" i="272"/>
  <c r="P53" i="272" s="1"/>
  <c r="E53" i="272"/>
  <c r="P52" i="272"/>
  <c r="O52" i="272"/>
  <c r="N52" i="272"/>
  <c r="L52" i="272"/>
  <c r="K52" i="272"/>
  <c r="H52" i="272"/>
  <c r="F52" i="272"/>
  <c r="E52" i="272"/>
  <c r="O51" i="272"/>
  <c r="N51" i="272"/>
  <c r="L51" i="272"/>
  <c r="K51" i="272"/>
  <c r="H51" i="272"/>
  <c r="F51" i="272"/>
  <c r="P51" i="272" s="1"/>
  <c r="E51" i="272"/>
  <c r="O50" i="272"/>
  <c r="N50" i="272"/>
  <c r="L50" i="272"/>
  <c r="K50" i="272"/>
  <c r="H50" i="272"/>
  <c r="F50" i="272"/>
  <c r="P50" i="272" s="1"/>
  <c r="E50" i="272"/>
  <c r="P49" i="272"/>
  <c r="O49" i="272"/>
  <c r="N49" i="272"/>
  <c r="L49" i="272"/>
  <c r="K49" i="272"/>
  <c r="H49" i="272"/>
  <c r="F49" i="272"/>
  <c r="E49" i="272"/>
  <c r="O48" i="272"/>
  <c r="N48" i="272"/>
  <c r="L48" i="272"/>
  <c r="K48" i="272"/>
  <c r="H48" i="272"/>
  <c r="F48" i="272"/>
  <c r="P48" i="272" s="1"/>
  <c r="E48" i="272"/>
  <c r="O47" i="272"/>
  <c r="N47" i="272"/>
  <c r="L47" i="272"/>
  <c r="K47" i="272"/>
  <c r="H47" i="272"/>
  <c r="F47" i="272"/>
  <c r="P47" i="272" s="1"/>
  <c r="E47" i="272"/>
  <c r="P46" i="272"/>
  <c r="O46" i="272"/>
  <c r="N46" i="272"/>
  <c r="L46" i="272"/>
  <c r="K46" i="272"/>
  <c r="H46" i="272"/>
  <c r="F46" i="272"/>
  <c r="E46" i="272"/>
  <c r="O45" i="272"/>
  <c r="N45" i="272"/>
  <c r="L45" i="272"/>
  <c r="K45" i="272"/>
  <c r="H45" i="272"/>
  <c r="F45" i="272"/>
  <c r="P45" i="272" s="1"/>
  <c r="E45" i="272"/>
  <c r="O44" i="272"/>
  <c r="N44" i="272"/>
  <c r="L44" i="272"/>
  <c r="K44" i="272"/>
  <c r="H44" i="272"/>
  <c r="F44" i="272"/>
  <c r="P44" i="272" s="1"/>
  <c r="E44" i="272"/>
  <c r="P43" i="272"/>
  <c r="O43" i="272"/>
  <c r="N43" i="272"/>
  <c r="L43" i="272"/>
  <c r="K43" i="272"/>
  <c r="H43" i="272"/>
  <c r="F43" i="272"/>
  <c r="E43" i="272"/>
  <c r="O42" i="272"/>
  <c r="N42" i="272"/>
  <c r="L42" i="272"/>
  <c r="K42" i="272"/>
  <c r="H42" i="272"/>
  <c r="E42" i="272"/>
  <c r="O41" i="272"/>
  <c r="N41" i="272"/>
  <c r="L41" i="272"/>
  <c r="K41" i="272"/>
  <c r="H41" i="272"/>
  <c r="F41" i="272"/>
  <c r="P41" i="272" s="1"/>
  <c r="E41" i="272"/>
  <c r="P40" i="272"/>
  <c r="O40" i="272"/>
  <c r="N40" i="272"/>
  <c r="L40" i="272"/>
  <c r="K40" i="272"/>
  <c r="H40" i="272"/>
  <c r="F40" i="272"/>
  <c r="E40" i="272"/>
  <c r="O39" i="272"/>
  <c r="N39" i="272"/>
  <c r="L39" i="272"/>
  <c r="K39" i="272"/>
  <c r="H39" i="272"/>
  <c r="F39" i="272"/>
  <c r="P39" i="272" s="1"/>
  <c r="E39" i="272"/>
  <c r="O38" i="272"/>
  <c r="N38" i="272"/>
  <c r="L38" i="272"/>
  <c r="K38" i="272"/>
  <c r="H38" i="272"/>
  <c r="F38" i="272"/>
  <c r="P38" i="272" s="1"/>
  <c r="E38" i="272"/>
  <c r="P37" i="272"/>
  <c r="O37" i="272"/>
  <c r="N37" i="272"/>
  <c r="L37" i="272"/>
  <c r="K37" i="272"/>
  <c r="H37" i="272"/>
  <c r="F37" i="272"/>
  <c r="E37" i="272"/>
  <c r="O36" i="272"/>
  <c r="N36" i="272"/>
  <c r="L36" i="272"/>
  <c r="K36" i="272"/>
  <c r="H36" i="272"/>
  <c r="F36" i="272"/>
  <c r="P36" i="272" s="1"/>
  <c r="E36" i="272"/>
  <c r="O34" i="272"/>
  <c r="N34" i="272"/>
  <c r="K34" i="272"/>
  <c r="H34" i="272"/>
  <c r="F34" i="272"/>
  <c r="P34" i="272" s="1"/>
  <c r="E34" i="272"/>
  <c r="P33" i="272"/>
  <c r="O33" i="272"/>
  <c r="N33" i="272"/>
  <c r="K33" i="272"/>
  <c r="H33" i="272"/>
  <c r="F33" i="272"/>
  <c r="E33" i="272"/>
  <c r="O32" i="272"/>
  <c r="N32" i="272"/>
  <c r="K32" i="272"/>
  <c r="H32" i="272"/>
  <c r="F32" i="272"/>
  <c r="P32" i="272" s="1"/>
  <c r="E32" i="272"/>
  <c r="O31" i="272"/>
  <c r="N31" i="272"/>
  <c r="K31" i="272"/>
  <c r="H31" i="272"/>
  <c r="F31" i="272"/>
  <c r="P31" i="272" s="1"/>
  <c r="E31" i="272"/>
  <c r="O30" i="272"/>
  <c r="N30" i="272"/>
  <c r="K30" i="272"/>
  <c r="H30" i="272"/>
  <c r="F30" i="272"/>
  <c r="P30" i="272" s="1"/>
  <c r="E30" i="272"/>
  <c r="P28" i="272"/>
  <c r="J28" i="272"/>
  <c r="D28" i="272"/>
  <c r="L28" i="272" s="1"/>
  <c r="M28" i="272" s="1"/>
  <c r="C28" i="272"/>
  <c r="H28" i="272" s="1"/>
  <c r="I28" i="272" s="1"/>
  <c r="O28" i="272" s="1"/>
  <c r="A28" i="272"/>
  <c r="P27" i="272"/>
  <c r="J27" i="272"/>
  <c r="D27" i="272"/>
  <c r="L27" i="272" s="1"/>
  <c r="M27" i="272" s="1"/>
  <c r="C27" i="272"/>
  <c r="H27" i="272" s="1"/>
  <c r="I27" i="272" s="1"/>
  <c r="O27" i="272" s="1"/>
  <c r="A27" i="272"/>
  <c r="P26" i="272"/>
  <c r="J26" i="272"/>
  <c r="E26" i="272" a="1"/>
  <c r="E26" i="272" s="1"/>
  <c r="D26" i="272"/>
  <c r="L26" i="272" s="1"/>
  <c r="M26" i="272" s="1"/>
  <c r="C26" i="272"/>
  <c r="H26" i="272" s="1"/>
  <c r="I26" i="272" s="1"/>
  <c r="O26" i="272" s="1"/>
  <c r="P25" i="272"/>
  <c r="J25" i="272"/>
  <c r="E25" i="272" a="1"/>
  <c r="E25" i="272" s="1"/>
  <c r="D25" i="272"/>
  <c r="L25" i="272" s="1"/>
  <c r="M25" i="272" s="1"/>
  <c r="C25" i="272"/>
  <c r="F25" i="272" s="1"/>
  <c r="P24" i="272"/>
  <c r="J24" i="272"/>
  <c r="E24" i="272" a="1"/>
  <c r="E24" i="272" s="1"/>
  <c r="D24" i="272"/>
  <c r="L24" i="272" s="1"/>
  <c r="M24" i="272" s="1"/>
  <c r="C24" i="272"/>
  <c r="F24" i="272" s="1"/>
  <c r="P23" i="272"/>
  <c r="J23" i="272"/>
  <c r="E23" i="272" a="1"/>
  <c r="E23" i="272" s="1"/>
  <c r="D23" i="272"/>
  <c r="L23" i="272" s="1"/>
  <c r="M23" i="272" s="1"/>
  <c r="C23" i="272"/>
  <c r="F23" i="272" s="1"/>
  <c r="P22" i="272"/>
  <c r="J22" i="272"/>
  <c r="E22" i="272" a="1"/>
  <c r="E22" i="272" s="1"/>
  <c r="D22" i="272"/>
  <c r="L22" i="272" s="1"/>
  <c r="M22" i="272" s="1"/>
  <c r="C22" i="272"/>
  <c r="F22" i="272" s="1"/>
  <c r="P21" i="272"/>
  <c r="J21" i="272"/>
  <c r="E21" i="272" a="1"/>
  <c r="E21" i="272" s="1"/>
  <c r="D21" i="272"/>
  <c r="L21" i="272" s="1"/>
  <c r="M21" i="272" s="1"/>
  <c r="C21" i="272"/>
  <c r="F21" i="272" s="1"/>
  <c r="P20" i="272"/>
  <c r="J20" i="272"/>
  <c r="D20" i="272"/>
  <c r="L20" i="272" s="1"/>
  <c r="M20" i="272" s="1"/>
  <c r="C20" i="272"/>
  <c r="F20" i="272" s="1"/>
  <c r="P19" i="272"/>
  <c r="J19" i="272"/>
  <c r="E19" i="272" a="1"/>
  <c r="E19" i="272" s="1"/>
  <c r="D19" i="272"/>
  <c r="L19" i="272" s="1"/>
  <c r="M19" i="272" s="1"/>
  <c r="C19" i="272"/>
  <c r="F19" i="272" s="1"/>
  <c r="P17" i="272"/>
  <c r="N17" i="272"/>
  <c r="E17" i="272"/>
  <c r="P16" i="272"/>
  <c r="N16" i="272"/>
  <c r="E16" i="272"/>
  <c r="N15" i="272"/>
  <c r="J15" i="272"/>
  <c r="J16" i="272" s="1"/>
  <c r="E15" i="272"/>
  <c r="P15" i="272" s="1"/>
  <c r="S14" i="272"/>
  <c r="P14" i="272"/>
  <c r="P13" i="272"/>
  <c r="O13" i="272"/>
  <c r="J13" i="272"/>
  <c r="J14" i="272" s="1"/>
  <c r="U6" i="272" s="1"/>
  <c r="P11" i="272"/>
  <c r="J11" i="272"/>
  <c r="M11" i="272" s="1"/>
  <c r="S6" i="272" s="1"/>
  <c r="P10" i="272"/>
  <c r="J10" i="272"/>
  <c r="E10" i="272"/>
  <c r="S9" i="272"/>
  <c r="O9" i="272"/>
  <c r="P8" i="272"/>
  <c r="J8" i="272"/>
  <c r="J9" i="272" s="1"/>
  <c r="L7" i="272"/>
  <c r="F7" i="272"/>
  <c r="E7" i="272" a="1"/>
  <c r="E7" i="272" s="1"/>
  <c r="X6" i="272"/>
  <c r="O92" i="272" s="1"/>
  <c r="V6" i="272"/>
  <c r="T6" i="272"/>
  <c r="R6" i="272"/>
  <c r="P5" i="272"/>
  <c r="N5" i="272"/>
  <c r="M5" i="272"/>
  <c r="K5" i="272"/>
  <c r="J5" i="272"/>
  <c r="E5" i="272"/>
  <c r="N4" i="272"/>
  <c r="M4" i="272"/>
  <c r="J4" i="272"/>
  <c r="F4" i="272"/>
  <c r="E4" i="272"/>
  <c r="F42" i="272" s="1"/>
  <c r="P42" i="272" s="1"/>
  <c r="P90" i="271"/>
  <c r="O90" i="271"/>
  <c r="K90" i="271"/>
  <c r="I90" i="271"/>
  <c r="G90" i="271"/>
  <c r="P89" i="271"/>
  <c r="O89" i="271"/>
  <c r="K89" i="271"/>
  <c r="I89" i="271"/>
  <c r="G89" i="271"/>
  <c r="P88" i="271"/>
  <c r="O88" i="271"/>
  <c r="K88" i="271"/>
  <c r="I88" i="271"/>
  <c r="G88" i="271"/>
  <c r="P87" i="271"/>
  <c r="O87" i="271"/>
  <c r="K87" i="271"/>
  <c r="I87" i="271"/>
  <c r="G87" i="271"/>
  <c r="P86" i="271"/>
  <c r="O86" i="271"/>
  <c r="K86" i="271"/>
  <c r="I86" i="271"/>
  <c r="G86" i="271"/>
  <c r="P85" i="271"/>
  <c r="O85" i="271"/>
  <c r="K85" i="271"/>
  <c r="I85" i="271"/>
  <c r="G85" i="271"/>
  <c r="P84" i="271"/>
  <c r="O84" i="271"/>
  <c r="K84" i="271"/>
  <c r="I84" i="271"/>
  <c r="G84" i="271"/>
  <c r="P83" i="271"/>
  <c r="O83" i="271"/>
  <c r="K83" i="271"/>
  <c r="I83" i="271"/>
  <c r="G83" i="271"/>
  <c r="P82" i="271"/>
  <c r="O82" i="271"/>
  <c r="K82" i="271"/>
  <c r="I82" i="271"/>
  <c r="G82" i="271"/>
  <c r="P81" i="271"/>
  <c r="O81" i="271"/>
  <c r="K81" i="271"/>
  <c r="I81" i="271"/>
  <c r="G81" i="271"/>
  <c r="P80" i="271"/>
  <c r="O80" i="271"/>
  <c r="K80" i="271"/>
  <c r="I80" i="271"/>
  <c r="G80" i="271"/>
  <c r="P79" i="271"/>
  <c r="O79" i="271"/>
  <c r="K79" i="271"/>
  <c r="I79" i="271"/>
  <c r="G79" i="271"/>
  <c r="P78" i="271"/>
  <c r="O78" i="271"/>
  <c r="K78" i="271"/>
  <c r="I78" i="271"/>
  <c r="G78" i="271"/>
  <c r="P77" i="271"/>
  <c r="O77" i="271"/>
  <c r="K77" i="271"/>
  <c r="I77" i="271"/>
  <c r="G77" i="271"/>
  <c r="P76" i="271"/>
  <c r="O76" i="271"/>
  <c r="K76" i="271"/>
  <c r="I76" i="271"/>
  <c r="G76" i="271"/>
  <c r="P75" i="271"/>
  <c r="K75" i="271"/>
  <c r="I75" i="271"/>
  <c r="G75" i="271"/>
  <c r="P74" i="271"/>
  <c r="K74" i="271"/>
  <c r="I74" i="271"/>
  <c r="G74" i="271"/>
  <c r="P73" i="271"/>
  <c r="K73" i="271"/>
  <c r="I73" i="271"/>
  <c r="G73" i="271"/>
  <c r="P71" i="271"/>
  <c r="O71" i="271"/>
  <c r="K71" i="271"/>
  <c r="G71" i="271"/>
  <c r="P70" i="271"/>
  <c r="O70" i="271"/>
  <c r="N70" i="271"/>
  <c r="K70" i="271"/>
  <c r="G70" i="271"/>
  <c r="P69" i="271"/>
  <c r="O69" i="271"/>
  <c r="N69" i="271"/>
  <c r="K69" i="271"/>
  <c r="G69" i="271"/>
  <c r="N67" i="271"/>
  <c r="H66" i="271"/>
  <c r="I66" i="271" s="1"/>
  <c r="F66" i="271" a="1"/>
  <c r="F66" i="271" s="1"/>
  <c r="P65" i="271"/>
  <c r="L65" i="271"/>
  <c r="L66" i="271" s="1"/>
  <c r="K65" i="271"/>
  <c r="E65" i="271"/>
  <c r="O64" i="271"/>
  <c r="M64" i="271"/>
  <c r="L64" i="271"/>
  <c r="P64" i="271" s="1"/>
  <c r="K64" i="271"/>
  <c r="J64" i="271"/>
  <c r="H64" i="271"/>
  <c r="I64" i="271" s="1"/>
  <c r="E57" i="271"/>
  <c r="P57" i="271" s="1"/>
  <c r="P56" i="271"/>
  <c r="O56" i="271"/>
  <c r="N56" i="271"/>
  <c r="L56" i="271"/>
  <c r="K56" i="271"/>
  <c r="H56" i="271"/>
  <c r="F56" i="271"/>
  <c r="E56" i="271"/>
  <c r="P55" i="271"/>
  <c r="O55" i="271"/>
  <c r="N55" i="271"/>
  <c r="L55" i="271"/>
  <c r="K55" i="271"/>
  <c r="H55" i="271"/>
  <c r="F55" i="271"/>
  <c r="E55" i="271"/>
  <c r="O54" i="271"/>
  <c r="N54" i="271"/>
  <c r="L54" i="271"/>
  <c r="K54" i="271"/>
  <c r="H54" i="271"/>
  <c r="F54" i="271"/>
  <c r="P54" i="271" s="1"/>
  <c r="E54" i="271"/>
  <c r="P53" i="271"/>
  <c r="O53" i="271"/>
  <c r="N53" i="271"/>
  <c r="L53" i="271"/>
  <c r="K53" i="271"/>
  <c r="H53" i="271"/>
  <c r="F53" i="271"/>
  <c r="E53" i="271"/>
  <c r="P52" i="271"/>
  <c r="O52" i="271"/>
  <c r="N52" i="271"/>
  <c r="L52" i="271"/>
  <c r="K52" i="271"/>
  <c r="H52" i="271"/>
  <c r="F52" i="271"/>
  <c r="E52" i="271"/>
  <c r="O51" i="271"/>
  <c r="N51" i="271"/>
  <c r="L51" i="271"/>
  <c r="K51" i="271"/>
  <c r="H51" i="271"/>
  <c r="F51" i="271"/>
  <c r="P51" i="271" s="1"/>
  <c r="E51" i="271"/>
  <c r="P50" i="271"/>
  <c r="O50" i="271"/>
  <c r="N50" i="271"/>
  <c r="L50" i="271"/>
  <c r="K50" i="271"/>
  <c r="H50" i="271"/>
  <c r="F50" i="271"/>
  <c r="E50" i="271"/>
  <c r="P49" i="271"/>
  <c r="O49" i="271"/>
  <c r="N49" i="271"/>
  <c r="L49" i="271"/>
  <c r="K49" i="271"/>
  <c r="H49" i="271"/>
  <c r="F49" i="271"/>
  <c r="E49" i="271"/>
  <c r="O48" i="271"/>
  <c r="N48" i="271"/>
  <c r="L48" i="271"/>
  <c r="K48" i="271"/>
  <c r="H48" i="271"/>
  <c r="F48" i="271"/>
  <c r="P48" i="271" s="1"/>
  <c r="E48" i="271"/>
  <c r="P47" i="271"/>
  <c r="O47" i="271"/>
  <c r="N47" i="271"/>
  <c r="L47" i="271"/>
  <c r="K47" i="271"/>
  <c r="H47" i="271"/>
  <c r="F47" i="271"/>
  <c r="E47" i="271"/>
  <c r="P46" i="271"/>
  <c r="O46" i="271"/>
  <c r="N46" i="271"/>
  <c r="L46" i="271"/>
  <c r="K46" i="271"/>
  <c r="H46" i="271"/>
  <c r="F46" i="271"/>
  <c r="E46" i="271"/>
  <c r="O45" i="271"/>
  <c r="N45" i="271"/>
  <c r="L45" i="271"/>
  <c r="K45" i="271"/>
  <c r="H45" i="271"/>
  <c r="F45" i="271"/>
  <c r="P45" i="271" s="1"/>
  <c r="E45" i="271"/>
  <c r="P44" i="271"/>
  <c r="O44" i="271"/>
  <c r="N44" i="271"/>
  <c r="L44" i="271"/>
  <c r="K44" i="271"/>
  <c r="H44" i="271"/>
  <c r="F44" i="271"/>
  <c r="E44" i="271"/>
  <c r="P43" i="271"/>
  <c r="O43" i="271"/>
  <c r="N43" i="271"/>
  <c r="L43" i="271"/>
  <c r="K43" i="271"/>
  <c r="H43" i="271"/>
  <c r="F43" i="271"/>
  <c r="E43" i="271"/>
  <c r="O42" i="271"/>
  <c r="N42" i="271"/>
  <c r="L42" i="271"/>
  <c r="K42" i="271"/>
  <c r="H42" i="271"/>
  <c r="F42" i="271"/>
  <c r="P42" i="271" s="1"/>
  <c r="E42" i="271"/>
  <c r="O41" i="271"/>
  <c r="N41" i="271"/>
  <c r="L41" i="271"/>
  <c r="K41" i="271"/>
  <c r="H41" i="271"/>
  <c r="E41" i="271"/>
  <c r="O40" i="271"/>
  <c r="N40" i="271"/>
  <c r="L40" i="271"/>
  <c r="K40" i="271"/>
  <c r="H40" i="271"/>
  <c r="F40" i="271"/>
  <c r="P40" i="271" s="1"/>
  <c r="E40" i="271"/>
  <c r="O39" i="271"/>
  <c r="N39" i="271"/>
  <c r="L39" i="271"/>
  <c r="K39" i="271"/>
  <c r="H39" i="271"/>
  <c r="F39" i="271"/>
  <c r="P39" i="271" s="1"/>
  <c r="E39" i="271"/>
  <c r="O38" i="271"/>
  <c r="N38" i="271"/>
  <c r="L38" i="271"/>
  <c r="K38" i="271"/>
  <c r="H38" i="271"/>
  <c r="F38" i="271"/>
  <c r="P38" i="271" s="1"/>
  <c r="E38" i="271"/>
  <c r="O37" i="271"/>
  <c r="N37" i="271"/>
  <c r="L37" i="271"/>
  <c r="K37" i="271"/>
  <c r="H37" i="271"/>
  <c r="F37" i="271"/>
  <c r="P37" i="271" s="1"/>
  <c r="E37" i="271"/>
  <c r="O36" i="271"/>
  <c r="N36" i="271"/>
  <c r="L36" i="271"/>
  <c r="K36" i="271"/>
  <c r="H36" i="271"/>
  <c r="F36" i="271"/>
  <c r="P36" i="271" s="1"/>
  <c r="E36" i="271"/>
  <c r="P34" i="271"/>
  <c r="O34" i="271"/>
  <c r="N34" i="271"/>
  <c r="K34" i="271"/>
  <c r="H34" i="271"/>
  <c r="F34" i="271"/>
  <c r="E34" i="271"/>
  <c r="P33" i="271"/>
  <c r="O33" i="271"/>
  <c r="N33" i="271"/>
  <c r="K33" i="271"/>
  <c r="H33" i="271"/>
  <c r="F33" i="271"/>
  <c r="E33" i="271"/>
  <c r="O32" i="271"/>
  <c r="N32" i="271"/>
  <c r="K32" i="271"/>
  <c r="H32" i="271"/>
  <c r="F32" i="271"/>
  <c r="P32" i="271" s="1"/>
  <c r="E32" i="271"/>
  <c r="P31" i="271"/>
  <c r="O31" i="271"/>
  <c r="N31" i="271"/>
  <c r="K31" i="271"/>
  <c r="H31" i="271"/>
  <c r="F31" i="271"/>
  <c r="E31" i="271"/>
  <c r="O30" i="271"/>
  <c r="N30" i="271"/>
  <c r="K30" i="271"/>
  <c r="H30" i="271"/>
  <c r="F30" i="271"/>
  <c r="P30" i="271" s="1"/>
  <c r="E30" i="271"/>
  <c r="P28" i="271"/>
  <c r="J28" i="271"/>
  <c r="D28" i="271"/>
  <c r="L28" i="271" s="1"/>
  <c r="M28" i="271" s="1"/>
  <c r="C28" i="271"/>
  <c r="F28" i="271" s="1"/>
  <c r="A28" i="271"/>
  <c r="P27" i="271"/>
  <c r="J27" i="271"/>
  <c r="D27" i="271"/>
  <c r="L27" i="271" s="1"/>
  <c r="M27" i="271" s="1"/>
  <c r="C27" i="271"/>
  <c r="H27" i="271" s="1"/>
  <c r="I27" i="271" s="1"/>
  <c r="O27" i="271" s="1"/>
  <c r="A27" i="271"/>
  <c r="P26" i="271"/>
  <c r="J26" i="271"/>
  <c r="E26" i="271" a="1"/>
  <c r="E26" i="271" s="1"/>
  <c r="D26" i="271"/>
  <c r="L26" i="271" s="1"/>
  <c r="M26" i="271" s="1"/>
  <c r="C26" i="271"/>
  <c r="F26" i="271" s="1"/>
  <c r="P25" i="271"/>
  <c r="J25" i="271"/>
  <c r="E25" i="271" a="1"/>
  <c r="E25" i="271" s="1"/>
  <c r="D25" i="271"/>
  <c r="L25" i="271" s="1"/>
  <c r="M25" i="271" s="1"/>
  <c r="C25" i="271"/>
  <c r="H25" i="271" s="1"/>
  <c r="I25" i="271" s="1"/>
  <c r="O25" i="271" s="1"/>
  <c r="P24" i="271"/>
  <c r="J24" i="271"/>
  <c r="E24" i="271" a="1"/>
  <c r="E24" i="271" s="1"/>
  <c r="D24" i="271"/>
  <c r="L24" i="271" s="1"/>
  <c r="M24" i="271" s="1"/>
  <c r="C24" i="271"/>
  <c r="F24" i="271" s="1"/>
  <c r="P23" i="271"/>
  <c r="J23" i="271"/>
  <c r="E23" i="271" a="1"/>
  <c r="E23" i="271" s="1"/>
  <c r="D23" i="271"/>
  <c r="L23" i="271" s="1"/>
  <c r="M23" i="271" s="1"/>
  <c r="C23" i="271"/>
  <c r="H23" i="271" s="1"/>
  <c r="I23" i="271" s="1"/>
  <c r="O23" i="271" s="1"/>
  <c r="P22" i="271"/>
  <c r="J22" i="271"/>
  <c r="E22" i="271" a="1"/>
  <c r="E22" i="271" s="1"/>
  <c r="D22" i="271"/>
  <c r="L22" i="271" s="1"/>
  <c r="M22" i="271" s="1"/>
  <c r="C22" i="271"/>
  <c r="F22" i="271" s="1"/>
  <c r="P21" i="271"/>
  <c r="J21" i="271"/>
  <c r="E21" i="271" a="1"/>
  <c r="E21" i="271" s="1"/>
  <c r="D21" i="271"/>
  <c r="L21" i="271" s="1"/>
  <c r="M21" i="271" s="1"/>
  <c r="C21" i="271"/>
  <c r="H21" i="271" s="1"/>
  <c r="I21" i="271" s="1"/>
  <c r="O21" i="271" s="1"/>
  <c r="P20" i="271"/>
  <c r="J20" i="271"/>
  <c r="D20" i="271"/>
  <c r="L20" i="271" s="1"/>
  <c r="M20" i="271" s="1"/>
  <c r="C20" i="271"/>
  <c r="H20" i="271" s="1"/>
  <c r="I20" i="271" s="1"/>
  <c r="O20" i="271" s="1"/>
  <c r="P19" i="271"/>
  <c r="J19" i="271"/>
  <c r="D19" i="271"/>
  <c r="L19" i="271" s="1"/>
  <c r="M19" i="271" s="1"/>
  <c r="C19" i="271"/>
  <c r="H19" i="271" s="1"/>
  <c r="P17" i="271"/>
  <c r="N17" i="271"/>
  <c r="E17" i="271"/>
  <c r="P16" i="271"/>
  <c r="N16" i="271"/>
  <c r="E16" i="271"/>
  <c r="N15" i="271"/>
  <c r="J15" i="271"/>
  <c r="J16" i="271" s="1"/>
  <c r="E15" i="271"/>
  <c r="P15" i="271" s="1"/>
  <c r="S14" i="271"/>
  <c r="P14" i="271"/>
  <c r="S13" i="271"/>
  <c r="P13" i="271"/>
  <c r="O13" i="271"/>
  <c r="P11" i="271"/>
  <c r="J11" i="271"/>
  <c r="M11" i="271" s="1"/>
  <c r="S6" i="271" s="1"/>
  <c r="P10" i="271"/>
  <c r="J10" i="271"/>
  <c r="E10" i="271"/>
  <c r="S9" i="271"/>
  <c r="O9" i="271"/>
  <c r="P8" i="271"/>
  <c r="J8" i="271"/>
  <c r="J9" i="271" s="1"/>
  <c r="L7" i="271"/>
  <c r="F7" i="271"/>
  <c r="X6" i="271"/>
  <c r="O92" i="271" s="1"/>
  <c r="V6" i="271"/>
  <c r="T6" i="271"/>
  <c r="R6" i="271"/>
  <c r="P5" i="271"/>
  <c r="N5" i="271"/>
  <c r="M5" i="271"/>
  <c r="K5" i="271"/>
  <c r="J5" i="271"/>
  <c r="J13" i="271" s="1"/>
  <c r="J14" i="271" s="1"/>
  <c r="U6" i="271" s="1"/>
  <c r="E5" i="271"/>
  <c r="N4" i="271"/>
  <c r="M4" i="271"/>
  <c r="J4" i="271"/>
  <c r="F4" i="271"/>
  <c r="E4" i="271"/>
  <c r="E20" i="271" s="1" a="1"/>
  <c r="E20" i="271" s="1"/>
  <c r="P90" i="270"/>
  <c r="O90" i="270"/>
  <c r="K90" i="270"/>
  <c r="I90" i="270"/>
  <c r="G90" i="270"/>
  <c r="P89" i="270"/>
  <c r="O89" i="270"/>
  <c r="K89" i="270"/>
  <c r="I89" i="270"/>
  <c r="G89" i="270"/>
  <c r="P88" i="270"/>
  <c r="O88" i="270"/>
  <c r="K88" i="270"/>
  <c r="I88" i="270"/>
  <c r="G88" i="270"/>
  <c r="P87" i="270"/>
  <c r="O87" i="270"/>
  <c r="K87" i="270"/>
  <c r="I87" i="270"/>
  <c r="G87" i="270"/>
  <c r="P86" i="270"/>
  <c r="O86" i="270"/>
  <c r="K86" i="270"/>
  <c r="I86" i="270"/>
  <c r="G86" i="270"/>
  <c r="P85" i="270"/>
  <c r="O85" i="270"/>
  <c r="K85" i="270"/>
  <c r="I85" i="270"/>
  <c r="G85" i="270"/>
  <c r="P84" i="270"/>
  <c r="O84" i="270"/>
  <c r="K84" i="270"/>
  <c r="I84" i="270"/>
  <c r="G84" i="270"/>
  <c r="P83" i="270"/>
  <c r="O83" i="270"/>
  <c r="K83" i="270"/>
  <c r="I83" i="270"/>
  <c r="G83" i="270"/>
  <c r="P82" i="270"/>
  <c r="O82" i="270"/>
  <c r="K82" i="270"/>
  <c r="I82" i="270"/>
  <c r="G82" i="270"/>
  <c r="P81" i="270"/>
  <c r="O81" i="270"/>
  <c r="K81" i="270"/>
  <c r="I81" i="270"/>
  <c r="G81" i="270"/>
  <c r="P80" i="270"/>
  <c r="O80" i="270"/>
  <c r="K80" i="270"/>
  <c r="I80" i="270"/>
  <c r="G80" i="270"/>
  <c r="P79" i="270"/>
  <c r="O79" i="270"/>
  <c r="K79" i="270"/>
  <c r="I79" i="270"/>
  <c r="G79" i="270"/>
  <c r="P78" i="270"/>
  <c r="O78" i="270"/>
  <c r="K78" i="270"/>
  <c r="I78" i="270"/>
  <c r="G78" i="270"/>
  <c r="P77" i="270"/>
  <c r="O77" i="270"/>
  <c r="K77" i="270"/>
  <c r="I77" i="270"/>
  <c r="G77" i="270"/>
  <c r="P76" i="270"/>
  <c r="K76" i="270"/>
  <c r="I76" i="270"/>
  <c r="G76" i="270"/>
  <c r="P75" i="270"/>
  <c r="K75" i="270"/>
  <c r="I75" i="270"/>
  <c r="G75" i="270"/>
  <c r="P74" i="270"/>
  <c r="K74" i="270"/>
  <c r="I74" i="270"/>
  <c r="G74" i="270"/>
  <c r="P73" i="270"/>
  <c r="K73" i="270"/>
  <c r="I73" i="270"/>
  <c r="G73" i="270"/>
  <c r="P71" i="270"/>
  <c r="O71" i="270"/>
  <c r="K71" i="270"/>
  <c r="G71" i="270"/>
  <c r="P70" i="270"/>
  <c r="O70" i="270"/>
  <c r="N70" i="270"/>
  <c r="K70" i="270"/>
  <c r="G70" i="270"/>
  <c r="P69" i="270"/>
  <c r="O69" i="270"/>
  <c r="N69" i="270"/>
  <c r="K69" i="270"/>
  <c r="G69" i="270"/>
  <c r="N67" i="270"/>
  <c r="F66" i="270" a="1"/>
  <c r="F66" i="270" s="1"/>
  <c r="P65" i="270"/>
  <c r="K65" i="270"/>
  <c r="E65" i="270"/>
  <c r="O64" i="270"/>
  <c r="M64" i="270"/>
  <c r="L64" i="270"/>
  <c r="L65" i="270" s="1"/>
  <c r="K64" i="270"/>
  <c r="J64" i="270"/>
  <c r="H64" i="270"/>
  <c r="I64" i="270" s="1"/>
  <c r="E57" i="270"/>
  <c r="P57" i="270" s="1"/>
  <c r="P56" i="270"/>
  <c r="O56" i="270"/>
  <c r="N56" i="270"/>
  <c r="L56" i="270"/>
  <c r="K56" i="270"/>
  <c r="H56" i="270"/>
  <c r="F56" i="270"/>
  <c r="E56" i="270"/>
  <c r="O55" i="270"/>
  <c r="N55" i="270"/>
  <c r="L55" i="270"/>
  <c r="K55" i="270"/>
  <c r="H55" i="270"/>
  <c r="F55" i="270"/>
  <c r="P55" i="270" s="1"/>
  <c r="E55" i="270"/>
  <c r="P54" i="270"/>
  <c r="O54" i="270"/>
  <c r="N54" i="270"/>
  <c r="L54" i="270"/>
  <c r="K54" i="270"/>
  <c r="H54" i="270"/>
  <c r="F54" i="270"/>
  <c r="E54" i="270"/>
  <c r="P53" i="270"/>
  <c r="O53" i="270"/>
  <c r="N53" i="270"/>
  <c r="L53" i="270"/>
  <c r="K53" i="270"/>
  <c r="H53" i="270"/>
  <c r="F53" i="270"/>
  <c r="E53" i="270"/>
  <c r="O52" i="270"/>
  <c r="N52" i="270"/>
  <c r="L52" i="270"/>
  <c r="K52" i="270"/>
  <c r="H52" i="270"/>
  <c r="F52" i="270"/>
  <c r="P52" i="270" s="1"/>
  <c r="E52" i="270"/>
  <c r="P51" i="270"/>
  <c r="O51" i="270"/>
  <c r="N51" i="270"/>
  <c r="L51" i="270"/>
  <c r="K51" i="270"/>
  <c r="H51" i="270"/>
  <c r="F51" i="270"/>
  <c r="E51" i="270"/>
  <c r="P50" i="270"/>
  <c r="O50" i="270"/>
  <c r="N50" i="270"/>
  <c r="L50" i="270"/>
  <c r="K50" i="270"/>
  <c r="H50" i="270"/>
  <c r="F50" i="270"/>
  <c r="E50" i="270"/>
  <c r="O49" i="270"/>
  <c r="N49" i="270"/>
  <c r="L49" i="270"/>
  <c r="K49" i="270"/>
  <c r="H49" i="270"/>
  <c r="F49" i="270"/>
  <c r="P49" i="270" s="1"/>
  <c r="E49" i="270"/>
  <c r="P48" i="270"/>
  <c r="O48" i="270"/>
  <c r="N48" i="270"/>
  <c r="L48" i="270"/>
  <c r="K48" i="270"/>
  <c r="H48" i="270"/>
  <c r="F48" i="270"/>
  <c r="E48" i="270"/>
  <c r="P47" i="270"/>
  <c r="O47" i="270"/>
  <c r="N47" i="270"/>
  <c r="L47" i="270"/>
  <c r="K47" i="270"/>
  <c r="H47" i="270"/>
  <c r="F47" i="270"/>
  <c r="E47" i="270"/>
  <c r="O46" i="270"/>
  <c r="N46" i="270"/>
  <c r="L46" i="270"/>
  <c r="K46" i="270"/>
  <c r="H46" i="270"/>
  <c r="F46" i="270"/>
  <c r="P46" i="270" s="1"/>
  <c r="E46" i="270"/>
  <c r="P45" i="270"/>
  <c r="O45" i="270"/>
  <c r="N45" i="270"/>
  <c r="L45" i="270"/>
  <c r="K45" i="270"/>
  <c r="H45" i="270"/>
  <c r="F45" i="270"/>
  <c r="E45" i="270"/>
  <c r="P44" i="270"/>
  <c r="O44" i="270"/>
  <c r="N44" i="270"/>
  <c r="L44" i="270"/>
  <c r="K44" i="270"/>
  <c r="H44" i="270"/>
  <c r="F44" i="270"/>
  <c r="E44" i="270"/>
  <c r="O43" i="270"/>
  <c r="N43" i="270"/>
  <c r="L43" i="270"/>
  <c r="K43" i="270"/>
  <c r="H43" i="270"/>
  <c r="F43" i="270"/>
  <c r="P43" i="270" s="1"/>
  <c r="E43" i="270"/>
  <c r="O42" i="270"/>
  <c r="N42" i="270"/>
  <c r="L42" i="270"/>
  <c r="K42" i="270"/>
  <c r="H42" i="270"/>
  <c r="F42" i="270"/>
  <c r="P42" i="270" s="1"/>
  <c r="E42" i="270"/>
  <c r="O41" i="270"/>
  <c r="N41" i="270"/>
  <c r="L41" i="270"/>
  <c r="K41" i="270"/>
  <c r="H41" i="270"/>
  <c r="F41" i="270"/>
  <c r="P41" i="270" s="1"/>
  <c r="E41" i="270"/>
  <c r="O40" i="270"/>
  <c r="N40" i="270"/>
  <c r="L40" i="270"/>
  <c r="K40" i="270"/>
  <c r="H40" i="270"/>
  <c r="F40" i="270"/>
  <c r="P40" i="270" s="1"/>
  <c r="E40" i="270"/>
  <c r="O39" i="270"/>
  <c r="N39" i="270"/>
  <c r="L39" i="270"/>
  <c r="K39" i="270"/>
  <c r="H39" i="270"/>
  <c r="E39" i="270"/>
  <c r="O38" i="270"/>
  <c r="N38" i="270"/>
  <c r="L38" i="270"/>
  <c r="K38" i="270"/>
  <c r="H38" i="270"/>
  <c r="F38" i="270"/>
  <c r="P38" i="270" s="1"/>
  <c r="E38" i="270"/>
  <c r="O37" i="270"/>
  <c r="N37" i="270"/>
  <c r="L37" i="270"/>
  <c r="K37" i="270"/>
  <c r="H37" i="270"/>
  <c r="F37" i="270"/>
  <c r="P37" i="270" s="1"/>
  <c r="E37" i="270"/>
  <c r="O36" i="270"/>
  <c r="N36" i="270"/>
  <c r="L36" i="270"/>
  <c r="K36" i="270"/>
  <c r="H36" i="270"/>
  <c r="F36" i="270"/>
  <c r="P36" i="270" s="1"/>
  <c r="E36" i="270"/>
  <c r="P34" i="270"/>
  <c r="O34" i="270"/>
  <c r="N34" i="270"/>
  <c r="K34" i="270"/>
  <c r="H34" i="270"/>
  <c r="F34" i="270"/>
  <c r="E34" i="270"/>
  <c r="O33" i="270"/>
  <c r="N33" i="270"/>
  <c r="K33" i="270"/>
  <c r="H33" i="270"/>
  <c r="F33" i="270"/>
  <c r="P33" i="270" s="1"/>
  <c r="E33" i="270"/>
  <c r="O32" i="270"/>
  <c r="N32" i="270"/>
  <c r="K32" i="270"/>
  <c r="H32" i="270"/>
  <c r="F32" i="270"/>
  <c r="P32" i="270" s="1"/>
  <c r="E32" i="270"/>
  <c r="O31" i="270"/>
  <c r="N31" i="270"/>
  <c r="K31" i="270"/>
  <c r="H31" i="270"/>
  <c r="F31" i="270"/>
  <c r="P31" i="270" s="1"/>
  <c r="E31" i="270"/>
  <c r="O30" i="270"/>
  <c r="N30" i="270"/>
  <c r="K30" i="270"/>
  <c r="H30" i="270"/>
  <c r="F30" i="270"/>
  <c r="P30" i="270" s="1"/>
  <c r="E30" i="270"/>
  <c r="P28" i="270"/>
  <c r="L28" i="270"/>
  <c r="M28" i="270" s="1"/>
  <c r="J28" i="270"/>
  <c r="D28" i="270"/>
  <c r="C28" i="270"/>
  <c r="H28" i="270" s="1"/>
  <c r="I28" i="270" s="1"/>
  <c r="O28" i="270" s="1"/>
  <c r="A28" i="270"/>
  <c r="P27" i="270"/>
  <c r="L27" i="270"/>
  <c r="M27" i="270" s="1"/>
  <c r="J27" i="270"/>
  <c r="D27" i="270"/>
  <c r="C27" i="270"/>
  <c r="H27" i="270" s="1"/>
  <c r="I27" i="270" s="1"/>
  <c r="O27" i="270" s="1"/>
  <c r="A27" i="270"/>
  <c r="P26" i="270"/>
  <c r="M26" i="270"/>
  <c r="L26" i="270"/>
  <c r="J26" i="270"/>
  <c r="I26" i="270"/>
  <c r="O26" i="270" s="1"/>
  <c r="H26" i="270"/>
  <c r="F26" i="270"/>
  <c r="E26" i="270" a="1"/>
  <c r="E26" i="270" s="1"/>
  <c r="D26" i="270"/>
  <c r="C26" i="270"/>
  <c r="P25" i="270"/>
  <c r="J25" i="270"/>
  <c r="E25" i="270" a="1"/>
  <c r="E25" i="270" s="1"/>
  <c r="D25" i="270"/>
  <c r="L25" i="270" s="1"/>
  <c r="M25" i="270" s="1"/>
  <c r="C25" i="270"/>
  <c r="H25" i="270" s="1"/>
  <c r="I25" i="270" s="1"/>
  <c r="O25" i="270" s="1"/>
  <c r="P24" i="270"/>
  <c r="M24" i="270"/>
  <c r="L24" i="270"/>
  <c r="J24" i="270"/>
  <c r="I24" i="270"/>
  <c r="O24" i="270" s="1"/>
  <c r="H24" i="270"/>
  <c r="F24" i="270"/>
  <c r="E24" i="270" a="1"/>
  <c r="E24" i="270" s="1"/>
  <c r="D24" i="270"/>
  <c r="C24" i="270"/>
  <c r="P23" i="270"/>
  <c r="J23" i="270"/>
  <c r="E23" i="270" a="1"/>
  <c r="E23" i="270" s="1"/>
  <c r="D23" i="270"/>
  <c r="L23" i="270" s="1"/>
  <c r="M23" i="270" s="1"/>
  <c r="C23" i="270"/>
  <c r="H23" i="270" s="1"/>
  <c r="I23" i="270" s="1"/>
  <c r="O23" i="270" s="1"/>
  <c r="P22" i="270"/>
  <c r="M22" i="270"/>
  <c r="L22" i="270"/>
  <c r="J22" i="270"/>
  <c r="I22" i="270"/>
  <c r="O22" i="270" s="1"/>
  <c r="H22" i="270"/>
  <c r="F22" i="270"/>
  <c r="E22" i="270" a="1"/>
  <c r="E22" i="270" s="1"/>
  <c r="D22" i="270"/>
  <c r="C22" i="270"/>
  <c r="P21" i="270"/>
  <c r="J21" i="270"/>
  <c r="E21" i="270" a="1"/>
  <c r="E21" i="270" s="1"/>
  <c r="D21" i="270"/>
  <c r="L21" i="270" s="1"/>
  <c r="M21" i="270" s="1"/>
  <c r="C21" i="270"/>
  <c r="H21" i="270" s="1"/>
  <c r="I21" i="270" s="1"/>
  <c r="O21" i="270" s="1"/>
  <c r="M20" i="270"/>
  <c r="L20" i="270"/>
  <c r="J20" i="270"/>
  <c r="I20" i="270"/>
  <c r="O20" i="270" s="1"/>
  <c r="H20" i="270"/>
  <c r="F20" i="270"/>
  <c r="D20" i="270"/>
  <c r="C20" i="270"/>
  <c r="J19" i="270"/>
  <c r="D19" i="270"/>
  <c r="L19" i="270" s="1"/>
  <c r="M19" i="270" s="1"/>
  <c r="C19" i="270"/>
  <c r="H19" i="270" s="1"/>
  <c r="N17" i="270"/>
  <c r="E17" i="270"/>
  <c r="P17" i="270" s="1"/>
  <c r="P16" i="270"/>
  <c r="N16" i="270"/>
  <c r="J16" i="270"/>
  <c r="E16" i="270"/>
  <c r="P15" i="270"/>
  <c r="N15" i="270"/>
  <c r="J15" i="270"/>
  <c r="E15" i="270"/>
  <c r="S14" i="270"/>
  <c r="J14" i="270"/>
  <c r="P13" i="270"/>
  <c r="O13" i="270"/>
  <c r="J13" i="270"/>
  <c r="P11" i="270"/>
  <c r="J11" i="270"/>
  <c r="J10" i="270"/>
  <c r="M11" i="270" s="1"/>
  <c r="S6" i="270" s="1"/>
  <c r="E10" i="270"/>
  <c r="S9" i="270"/>
  <c r="O9" i="270"/>
  <c r="J9" i="270"/>
  <c r="K14" i="270" s="1"/>
  <c r="J8" i="270"/>
  <c r="L7" i="270"/>
  <c r="F7" i="270"/>
  <c r="E7" i="270" a="1"/>
  <c r="E7" i="270" s="1"/>
  <c r="P7" i="270" s="1" a="1"/>
  <c r="P7" i="270" s="1"/>
  <c r="X6" i="270"/>
  <c r="O92" i="270" s="1"/>
  <c r="V6" i="270"/>
  <c r="U6" i="270"/>
  <c r="T6" i="270"/>
  <c r="R6" i="270"/>
  <c r="P5" i="270"/>
  <c r="P8" i="270" s="1"/>
  <c r="N5" i="270"/>
  <c r="M5" i="270"/>
  <c r="K5" i="270"/>
  <c r="J5" i="270"/>
  <c r="E5" i="270"/>
  <c r="N4" i="270"/>
  <c r="M4" i="270"/>
  <c r="J4" i="270"/>
  <c r="F4" i="270"/>
  <c r="E4" i="270"/>
  <c r="E9" i="270" s="1"/>
  <c r="P9" i="270" s="1"/>
  <c r="P90" i="269"/>
  <c r="O90" i="269"/>
  <c r="K90" i="269"/>
  <c r="I90" i="269"/>
  <c r="G90" i="269"/>
  <c r="P89" i="269"/>
  <c r="O89" i="269"/>
  <c r="K89" i="269"/>
  <c r="I89" i="269"/>
  <c r="G89" i="269"/>
  <c r="P88" i="269"/>
  <c r="O88" i="269"/>
  <c r="K88" i="269"/>
  <c r="I88" i="269"/>
  <c r="G88" i="269"/>
  <c r="P87" i="269"/>
  <c r="O87" i="269"/>
  <c r="K87" i="269"/>
  <c r="I87" i="269"/>
  <c r="G87" i="269"/>
  <c r="P86" i="269"/>
  <c r="O86" i="269"/>
  <c r="K86" i="269"/>
  <c r="I86" i="269"/>
  <c r="G86" i="269"/>
  <c r="P85" i="269"/>
  <c r="O85" i="269"/>
  <c r="K85" i="269"/>
  <c r="I85" i="269"/>
  <c r="G85" i="269"/>
  <c r="P84" i="269"/>
  <c r="O84" i="269"/>
  <c r="K84" i="269"/>
  <c r="I84" i="269"/>
  <c r="G84" i="269"/>
  <c r="P83" i="269"/>
  <c r="O83" i="269"/>
  <c r="K83" i="269"/>
  <c r="I83" i="269"/>
  <c r="G83" i="269"/>
  <c r="P82" i="269"/>
  <c r="O82" i="269"/>
  <c r="K82" i="269"/>
  <c r="I82" i="269"/>
  <c r="G82" i="269"/>
  <c r="P81" i="269"/>
  <c r="O81" i="269"/>
  <c r="K81" i="269"/>
  <c r="I81" i="269"/>
  <c r="G81" i="269"/>
  <c r="P80" i="269"/>
  <c r="O80" i="269"/>
  <c r="K80" i="269"/>
  <c r="I80" i="269"/>
  <c r="G80" i="269"/>
  <c r="P79" i="269"/>
  <c r="O79" i="269"/>
  <c r="K79" i="269"/>
  <c r="I79" i="269"/>
  <c r="G79" i="269"/>
  <c r="P78" i="269"/>
  <c r="O78" i="269"/>
  <c r="K78" i="269"/>
  <c r="I78" i="269"/>
  <c r="G78" i="269"/>
  <c r="P77" i="269"/>
  <c r="O77" i="269"/>
  <c r="K77" i="269"/>
  <c r="I77" i="269"/>
  <c r="G77" i="269"/>
  <c r="P76" i="269"/>
  <c r="K76" i="269"/>
  <c r="I76" i="269"/>
  <c r="G76" i="269"/>
  <c r="P75" i="269"/>
  <c r="K75" i="269"/>
  <c r="I75" i="269"/>
  <c r="G75" i="269"/>
  <c r="P74" i="269"/>
  <c r="K74" i="269"/>
  <c r="I74" i="269"/>
  <c r="G74" i="269"/>
  <c r="P73" i="269"/>
  <c r="K73" i="269"/>
  <c r="I73" i="269"/>
  <c r="G73" i="269"/>
  <c r="P71" i="269"/>
  <c r="O71" i="269"/>
  <c r="K71" i="269"/>
  <c r="G71" i="269"/>
  <c r="P70" i="269"/>
  <c r="O70" i="269"/>
  <c r="N70" i="269"/>
  <c r="K70" i="269"/>
  <c r="G70" i="269"/>
  <c r="P69" i="269"/>
  <c r="O69" i="269"/>
  <c r="N69" i="269"/>
  <c r="K69" i="269"/>
  <c r="G69" i="269"/>
  <c r="N67" i="269"/>
  <c r="H66" i="269"/>
  <c r="S13" i="269" s="1"/>
  <c r="F66" i="269" a="1"/>
  <c r="F66" i="269" s="1"/>
  <c r="L66" i="269" s="1"/>
  <c r="L67" i="269" s="1"/>
  <c r="P65" i="269"/>
  <c r="L65" i="269"/>
  <c r="K65" i="269"/>
  <c r="E65" i="269"/>
  <c r="O64" i="269"/>
  <c r="M64" i="269"/>
  <c r="L64" i="269"/>
  <c r="P64" i="269" s="1"/>
  <c r="K64" i="269"/>
  <c r="J64" i="269"/>
  <c r="J67" i="269" s="1"/>
  <c r="H64" i="269"/>
  <c r="I64" i="269" s="1"/>
  <c r="E57" i="269"/>
  <c r="P57" i="269" s="1"/>
  <c r="O56" i="269"/>
  <c r="N56" i="269"/>
  <c r="L56" i="269"/>
  <c r="K56" i="269"/>
  <c r="H56" i="269"/>
  <c r="F56" i="269"/>
  <c r="P56" i="269" s="1"/>
  <c r="E56" i="269"/>
  <c r="P55" i="269"/>
  <c r="O55" i="269"/>
  <c r="N55" i="269"/>
  <c r="L55" i="269"/>
  <c r="K55" i="269"/>
  <c r="H55" i="269"/>
  <c r="F55" i="269"/>
  <c r="E55" i="269"/>
  <c r="O54" i="269"/>
  <c r="N54" i="269"/>
  <c r="L54" i="269"/>
  <c r="K54" i="269"/>
  <c r="H54" i="269"/>
  <c r="F54" i="269"/>
  <c r="P54" i="269" s="1"/>
  <c r="E54" i="269"/>
  <c r="O53" i="269"/>
  <c r="N53" i="269"/>
  <c r="L53" i="269"/>
  <c r="K53" i="269"/>
  <c r="H53" i="269"/>
  <c r="F53" i="269"/>
  <c r="P53" i="269" s="1"/>
  <c r="E53" i="269"/>
  <c r="P52" i="269"/>
  <c r="O52" i="269"/>
  <c r="N52" i="269"/>
  <c r="L52" i="269"/>
  <c r="K52" i="269"/>
  <c r="H52" i="269"/>
  <c r="F52" i="269"/>
  <c r="E52" i="269"/>
  <c r="O51" i="269"/>
  <c r="N51" i="269"/>
  <c r="L51" i="269"/>
  <c r="K51" i="269"/>
  <c r="H51" i="269"/>
  <c r="F51" i="269"/>
  <c r="P51" i="269" s="1"/>
  <c r="E51" i="269"/>
  <c r="O50" i="269"/>
  <c r="N50" i="269"/>
  <c r="L50" i="269"/>
  <c r="K50" i="269"/>
  <c r="H50" i="269"/>
  <c r="F50" i="269"/>
  <c r="P50" i="269" s="1"/>
  <c r="E50" i="269"/>
  <c r="P49" i="269"/>
  <c r="O49" i="269"/>
  <c r="N49" i="269"/>
  <c r="L49" i="269"/>
  <c r="K49" i="269"/>
  <c r="H49" i="269"/>
  <c r="F49" i="269"/>
  <c r="E49" i="269"/>
  <c r="O48" i="269"/>
  <c r="N48" i="269"/>
  <c r="L48" i="269"/>
  <c r="K48" i="269"/>
  <c r="H48" i="269"/>
  <c r="F48" i="269"/>
  <c r="P48" i="269" s="1"/>
  <c r="E48" i="269"/>
  <c r="O47" i="269"/>
  <c r="N47" i="269"/>
  <c r="L47" i="269"/>
  <c r="K47" i="269"/>
  <c r="H47" i="269"/>
  <c r="F47" i="269"/>
  <c r="P47" i="269" s="1"/>
  <c r="E47" i="269"/>
  <c r="P46" i="269"/>
  <c r="O46" i="269"/>
  <c r="N46" i="269"/>
  <c r="L46" i="269"/>
  <c r="K46" i="269"/>
  <c r="H46" i="269"/>
  <c r="F46" i="269"/>
  <c r="E46" i="269"/>
  <c r="O45" i="269"/>
  <c r="N45" i="269"/>
  <c r="L45" i="269"/>
  <c r="K45" i="269"/>
  <c r="H45" i="269"/>
  <c r="F45" i="269"/>
  <c r="P45" i="269" s="1"/>
  <c r="E45" i="269"/>
  <c r="O44" i="269"/>
  <c r="N44" i="269"/>
  <c r="L44" i="269"/>
  <c r="K44" i="269"/>
  <c r="H44" i="269"/>
  <c r="F44" i="269"/>
  <c r="P44" i="269" s="1"/>
  <c r="E44" i="269"/>
  <c r="P43" i="269"/>
  <c r="O43" i="269"/>
  <c r="N43" i="269"/>
  <c r="L43" i="269"/>
  <c r="K43" i="269"/>
  <c r="H43" i="269"/>
  <c r="F43" i="269"/>
  <c r="E43" i="269"/>
  <c r="O42" i="269"/>
  <c r="N42" i="269"/>
  <c r="L42" i="269"/>
  <c r="K42" i="269"/>
  <c r="H42" i="269"/>
  <c r="F42" i="269"/>
  <c r="P42" i="269" s="1"/>
  <c r="E42" i="269"/>
  <c r="O41" i="269"/>
  <c r="N41" i="269"/>
  <c r="L41" i="269"/>
  <c r="K41" i="269"/>
  <c r="H41" i="269"/>
  <c r="F41" i="269"/>
  <c r="P41" i="269" s="1"/>
  <c r="E41" i="269"/>
  <c r="P40" i="269"/>
  <c r="O40" i="269"/>
  <c r="N40" i="269"/>
  <c r="L40" i="269"/>
  <c r="K40" i="269"/>
  <c r="H40" i="269"/>
  <c r="F40" i="269"/>
  <c r="E40" i="269"/>
  <c r="O39" i="269"/>
  <c r="N39" i="269"/>
  <c r="L39" i="269"/>
  <c r="K39" i="269"/>
  <c r="H39" i="269"/>
  <c r="F39" i="269"/>
  <c r="P39" i="269" s="1"/>
  <c r="E39" i="269"/>
  <c r="O38" i="269"/>
  <c r="N38" i="269"/>
  <c r="L38" i="269"/>
  <c r="K38" i="269"/>
  <c r="H38" i="269"/>
  <c r="F38" i="269"/>
  <c r="P38" i="269" s="1"/>
  <c r="E38" i="269"/>
  <c r="P37" i="269"/>
  <c r="O37" i="269"/>
  <c r="N37" i="269"/>
  <c r="L37" i="269"/>
  <c r="K37" i="269"/>
  <c r="H37" i="269"/>
  <c r="F37" i="269"/>
  <c r="E37" i="269"/>
  <c r="O36" i="269"/>
  <c r="N36" i="269"/>
  <c r="L36" i="269"/>
  <c r="K36" i="269"/>
  <c r="H36" i="269"/>
  <c r="F36" i="269"/>
  <c r="P36" i="269" s="1"/>
  <c r="E36" i="269"/>
  <c r="O34" i="269"/>
  <c r="N34" i="269"/>
  <c r="K34" i="269"/>
  <c r="H34" i="269"/>
  <c r="F34" i="269"/>
  <c r="P34" i="269" s="1"/>
  <c r="E34" i="269"/>
  <c r="P33" i="269"/>
  <c r="O33" i="269"/>
  <c r="N33" i="269"/>
  <c r="K33" i="269"/>
  <c r="H33" i="269"/>
  <c r="F33" i="269"/>
  <c r="E33" i="269"/>
  <c r="O32" i="269"/>
  <c r="N32" i="269"/>
  <c r="K32" i="269"/>
  <c r="H32" i="269"/>
  <c r="F32" i="269"/>
  <c r="P32" i="269" s="1"/>
  <c r="E32" i="269"/>
  <c r="O31" i="269"/>
  <c r="N31" i="269"/>
  <c r="K31" i="269"/>
  <c r="H31" i="269"/>
  <c r="F31" i="269"/>
  <c r="P31" i="269" s="1"/>
  <c r="E31" i="269"/>
  <c r="P30" i="269"/>
  <c r="O30" i="269"/>
  <c r="N30" i="269"/>
  <c r="K30" i="269"/>
  <c r="H30" i="269"/>
  <c r="F30" i="269"/>
  <c r="E30" i="269"/>
  <c r="P28" i="269"/>
  <c r="J28" i="269"/>
  <c r="D28" i="269"/>
  <c r="L28" i="269" s="1"/>
  <c r="M28" i="269" s="1"/>
  <c r="C28" i="269"/>
  <c r="H28" i="269" s="1"/>
  <c r="I28" i="269" s="1"/>
  <c r="O28" i="269" s="1"/>
  <c r="A28" i="269"/>
  <c r="P27" i="269"/>
  <c r="J27" i="269"/>
  <c r="D27" i="269"/>
  <c r="L27" i="269" s="1"/>
  <c r="M27" i="269" s="1"/>
  <c r="C27" i="269"/>
  <c r="H27" i="269" s="1"/>
  <c r="I27" i="269" s="1"/>
  <c r="O27" i="269" s="1"/>
  <c r="A27" i="269"/>
  <c r="P26" i="269"/>
  <c r="J26" i="269"/>
  <c r="E26" i="269" a="1"/>
  <c r="E26" i="269" s="1"/>
  <c r="D26" i="269"/>
  <c r="L26" i="269" s="1"/>
  <c r="M26" i="269" s="1"/>
  <c r="C26" i="269"/>
  <c r="H26" i="269" s="1"/>
  <c r="I26" i="269" s="1"/>
  <c r="O26" i="269" s="1"/>
  <c r="P25" i="269"/>
  <c r="J25" i="269"/>
  <c r="E25" i="269" a="1"/>
  <c r="E25" i="269" s="1"/>
  <c r="D25" i="269"/>
  <c r="L25" i="269" s="1"/>
  <c r="M25" i="269" s="1"/>
  <c r="C25" i="269"/>
  <c r="H25" i="269" s="1"/>
  <c r="I25" i="269" s="1"/>
  <c r="O25" i="269" s="1"/>
  <c r="P24" i="269"/>
  <c r="J24" i="269"/>
  <c r="E24" i="269" a="1"/>
  <c r="E24" i="269" s="1"/>
  <c r="D24" i="269"/>
  <c r="L24" i="269" s="1"/>
  <c r="M24" i="269" s="1"/>
  <c r="C24" i="269"/>
  <c r="H24" i="269" s="1"/>
  <c r="I24" i="269" s="1"/>
  <c r="O24" i="269" s="1"/>
  <c r="P23" i="269"/>
  <c r="J23" i="269"/>
  <c r="E23" i="269" a="1"/>
  <c r="E23" i="269" s="1"/>
  <c r="D23" i="269"/>
  <c r="L23" i="269" s="1"/>
  <c r="M23" i="269" s="1"/>
  <c r="C23" i="269"/>
  <c r="H23" i="269" s="1"/>
  <c r="I23" i="269" s="1"/>
  <c r="O23" i="269" s="1"/>
  <c r="P22" i="269"/>
  <c r="J22" i="269"/>
  <c r="E22" i="269" a="1"/>
  <c r="E22" i="269" s="1"/>
  <c r="D22" i="269"/>
  <c r="L22" i="269" s="1"/>
  <c r="M22" i="269" s="1"/>
  <c r="C22" i="269"/>
  <c r="H22" i="269" s="1"/>
  <c r="I22" i="269" s="1"/>
  <c r="O22" i="269" s="1"/>
  <c r="P21" i="269"/>
  <c r="J21" i="269"/>
  <c r="E21" i="269" a="1"/>
  <c r="E21" i="269" s="1"/>
  <c r="D21" i="269"/>
  <c r="L21" i="269" s="1"/>
  <c r="M21" i="269" s="1"/>
  <c r="C21" i="269"/>
  <c r="H21" i="269" s="1"/>
  <c r="I21" i="269" s="1"/>
  <c r="O21" i="269" s="1"/>
  <c r="P20" i="269"/>
  <c r="J20" i="269"/>
  <c r="E20" i="269" a="1"/>
  <c r="E20" i="269" s="1"/>
  <c r="D20" i="269"/>
  <c r="L20" i="269" s="1"/>
  <c r="M20" i="269" s="1"/>
  <c r="C20" i="269"/>
  <c r="H20" i="269" s="1"/>
  <c r="I20" i="269" s="1"/>
  <c r="O20" i="269" s="1"/>
  <c r="P19" i="269"/>
  <c r="J19" i="269"/>
  <c r="E19" i="269" a="1"/>
  <c r="E19" i="269" s="1"/>
  <c r="D19" i="269"/>
  <c r="L19" i="269" s="1"/>
  <c r="M19" i="269" s="1"/>
  <c r="C19" i="269"/>
  <c r="H19" i="269" s="1"/>
  <c r="P17" i="269"/>
  <c r="N17" i="269"/>
  <c r="E17" i="269"/>
  <c r="P16" i="269"/>
  <c r="N16" i="269"/>
  <c r="E16" i="269"/>
  <c r="N15" i="269"/>
  <c r="J15" i="269"/>
  <c r="J16" i="269" s="1"/>
  <c r="E15" i="269"/>
  <c r="P15" i="269" s="1"/>
  <c r="S14" i="269"/>
  <c r="P14" i="269"/>
  <c r="P13" i="269"/>
  <c r="O13" i="269"/>
  <c r="P11" i="269"/>
  <c r="J11" i="269"/>
  <c r="M11" i="269" s="1"/>
  <c r="S6" i="269" s="1"/>
  <c r="P10" i="269"/>
  <c r="J10" i="269"/>
  <c r="E10" i="269"/>
  <c r="S9" i="269"/>
  <c r="O9" i="269"/>
  <c r="E9" i="269"/>
  <c r="P9" i="269" s="1"/>
  <c r="P8" i="269"/>
  <c r="J8" i="269"/>
  <c r="J9" i="269" s="1"/>
  <c r="N7" i="269"/>
  <c r="S12" i="269" s="1"/>
  <c r="L7" i="269"/>
  <c r="F7" i="269"/>
  <c r="E7" i="269" a="1"/>
  <c r="E7" i="269" s="1"/>
  <c r="P7" i="269" s="1" a="1"/>
  <c r="P7" i="269" s="1"/>
  <c r="A7" i="269"/>
  <c r="X6" i="269"/>
  <c r="O92" i="269" s="1"/>
  <c r="V6" i="269"/>
  <c r="T6" i="269"/>
  <c r="R6" i="269"/>
  <c r="P5" i="269"/>
  <c r="N5" i="269"/>
  <c r="M5" i="269"/>
  <c r="K5" i="269"/>
  <c r="J5" i="269"/>
  <c r="J13" i="269" s="1"/>
  <c r="J14" i="269" s="1"/>
  <c r="U6" i="269" s="1"/>
  <c r="E5" i="269"/>
  <c r="N4" i="269"/>
  <c r="M4" i="269"/>
  <c r="J4" i="269"/>
  <c r="F4" i="269"/>
  <c r="E4" i="269"/>
  <c r="P90" i="267"/>
  <c r="O90" i="267"/>
  <c r="K90" i="267"/>
  <c r="I90" i="267"/>
  <c r="G90" i="267"/>
  <c r="P89" i="267"/>
  <c r="O89" i="267"/>
  <c r="K89" i="267"/>
  <c r="I89" i="267"/>
  <c r="G89" i="267"/>
  <c r="P88" i="267"/>
  <c r="O88" i="267"/>
  <c r="K88" i="267"/>
  <c r="I88" i="267"/>
  <c r="G88" i="267"/>
  <c r="P87" i="267"/>
  <c r="O87" i="267"/>
  <c r="K87" i="267"/>
  <c r="I87" i="267"/>
  <c r="G87" i="267"/>
  <c r="P86" i="267"/>
  <c r="O86" i="267"/>
  <c r="K86" i="267"/>
  <c r="I86" i="267"/>
  <c r="G86" i="267"/>
  <c r="P85" i="267"/>
  <c r="O85" i="267"/>
  <c r="K85" i="267"/>
  <c r="I85" i="267"/>
  <c r="G85" i="267"/>
  <c r="P84" i="267"/>
  <c r="O84" i="267"/>
  <c r="K84" i="267"/>
  <c r="I84" i="267"/>
  <c r="G84" i="267"/>
  <c r="P83" i="267"/>
  <c r="O83" i="267"/>
  <c r="K83" i="267"/>
  <c r="I83" i="267"/>
  <c r="G83" i="267"/>
  <c r="P82" i="267"/>
  <c r="O82" i="267"/>
  <c r="K82" i="267"/>
  <c r="I82" i="267"/>
  <c r="G82" i="267"/>
  <c r="P81" i="267"/>
  <c r="O81" i="267"/>
  <c r="K81" i="267"/>
  <c r="I81" i="267"/>
  <c r="G81" i="267"/>
  <c r="P80" i="267"/>
  <c r="O80" i="267"/>
  <c r="K80" i="267"/>
  <c r="I80" i="267"/>
  <c r="G80" i="267"/>
  <c r="P79" i="267"/>
  <c r="O79" i="267"/>
  <c r="K79" i="267"/>
  <c r="I79" i="267"/>
  <c r="G79" i="267"/>
  <c r="P78" i="267"/>
  <c r="O78" i="267"/>
  <c r="K78" i="267"/>
  <c r="I78" i="267"/>
  <c r="G78" i="267"/>
  <c r="P77" i="267"/>
  <c r="O77" i="267"/>
  <c r="K77" i="267"/>
  <c r="I77" i="267"/>
  <c r="G77" i="267"/>
  <c r="P76" i="267"/>
  <c r="O76" i="267"/>
  <c r="K76" i="267"/>
  <c r="I76" i="267"/>
  <c r="G76" i="267"/>
  <c r="P75" i="267"/>
  <c r="K75" i="267"/>
  <c r="I75" i="267"/>
  <c r="G75" i="267"/>
  <c r="P74" i="267"/>
  <c r="K74" i="267"/>
  <c r="I74" i="267"/>
  <c r="G74" i="267"/>
  <c r="P73" i="267"/>
  <c r="K73" i="267"/>
  <c r="I73" i="267"/>
  <c r="G73" i="267"/>
  <c r="P71" i="267"/>
  <c r="O71" i="267"/>
  <c r="K71" i="267"/>
  <c r="G71" i="267"/>
  <c r="P70" i="267"/>
  <c r="O70" i="267"/>
  <c r="N70" i="267"/>
  <c r="K70" i="267"/>
  <c r="G70" i="267"/>
  <c r="P69" i="267"/>
  <c r="O69" i="267"/>
  <c r="N69" i="267"/>
  <c r="K69" i="267"/>
  <c r="G69" i="267"/>
  <c r="N67" i="267"/>
  <c r="F66" i="267" a="1"/>
  <c r="F66" i="267" s="1"/>
  <c r="P65" i="267"/>
  <c r="L65" i="267"/>
  <c r="L66" i="267" s="1"/>
  <c r="K65" i="267"/>
  <c r="E65" i="267"/>
  <c r="O64" i="267"/>
  <c r="M64" i="267"/>
  <c r="L64" i="267"/>
  <c r="K64" i="267"/>
  <c r="J64" i="267"/>
  <c r="H64" i="267"/>
  <c r="I64" i="267" s="1"/>
  <c r="E57" i="267"/>
  <c r="P57" i="267" s="1"/>
  <c r="O56" i="267"/>
  <c r="N56" i="267"/>
  <c r="L56" i="267"/>
  <c r="K56" i="267"/>
  <c r="H56" i="267"/>
  <c r="F56" i="267"/>
  <c r="P56" i="267" s="1"/>
  <c r="E56" i="267"/>
  <c r="O55" i="267"/>
  <c r="N55" i="267"/>
  <c r="L55" i="267"/>
  <c r="K55" i="267"/>
  <c r="H55" i="267"/>
  <c r="F55" i="267"/>
  <c r="P55" i="267" s="1"/>
  <c r="E55" i="267"/>
  <c r="P54" i="267"/>
  <c r="O54" i="267"/>
  <c r="N54" i="267"/>
  <c r="L54" i="267"/>
  <c r="K54" i="267"/>
  <c r="H54" i="267"/>
  <c r="F54" i="267"/>
  <c r="E54" i="267"/>
  <c r="O53" i="267"/>
  <c r="N53" i="267"/>
  <c r="L53" i="267"/>
  <c r="K53" i="267"/>
  <c r="H53" i="267"/>
  <c r="F53" i="267"/>
  <c r="P53" i="267" s="1"/>
  <c r="E53" i="267"/>
  <c r="O52" i="267"/>
  <c r="N52" i="267"/>
  <c r="L52" i="267"/>
  <c r="K52" i="267"/>
  <c r="H52" i="267"/>
  <c r="F52" i="267"/>
  <c r="P52" i="267" s="1"/>
  <c r="E52" i="267"/>
  <c r="P51" i="267"/>
  <c r="O51" i="267"/>
  <c r="N51" i="267"/>
  <c r="L51" i="267"/>
  <c r="K51" i="267"/>
  <c r="H51" i="267"/>
  <c r="F51" i="267"/>
  <c r="E51" i="267"/>
  <c r="O50" i="267"/>
  <c r="N50" i="267"/>
  <c r="L50" i="267"/>
  <c r="K50" i="267"/>
  <c r="H50" i="267"/>
  <c r="F50" i="267"/>
  <c r="P50" i="267" s="1"/>
  <c r="E50" i="267"/>
  <c r="O49" i="267"/>
  <c r="N49" i="267"/>
  <c r="L49" i="267"/>
  <c r="K49" i="267"/>
  <c r="H49" i="267"/>
  <c r="F49" i="267"/>
  <c r="P49" i="267" s="1"/>
  <c r="E49" i="267"/>
  <c r="O48" i="267"/>
  <c r="N48" i="267"/>
  <c r="L48" i="267"/>
  <c r="K48" i="267"/>
  <c r="H48" i="267"/>
  <c r="F48" i="267"/>
  <c r="P48" i="267" s="1"/>
  <c r="E48" i="267"/>
  <c r="O47" i="267"/>
  <c r="N47" i="267"/>
  <c r="L47" i="267"/>
  <c r="K47" i="267"/>
  <c r="H47" i="267"/>
  <c r="F47" i="267"/>
  <c r="P47" i="267" s="1"/>
  <c r="E47" i="267"/>
  <c r="O46" i="267"/>
  <c r="N46" i="267"/>
  <c r="L46" i="267"/>
  <c r="K46" i="267"/>
  <c r="H46" i="267"/>
  <c r="F46" i="267"/>
  <c r="P46" i="267" s="1"/>
  <c r="E46" i="267"/>
  <c r="O45" i="267"/>
  <c r="N45" i="267"/>
  <c r="L45" i="267"/>
  <c r="K45" i="267"/>
  <c r="H45" i="267"/>
  <c r="F45" i="267"/>
  <c r="P45" i="267" s="1"/>
  <c r="E45" i="267"/>
  <c r="O44" i="267"/>
  <c r="N44" i="267"/>
  <c r="L44" i="267"/>
  <c r="K44" i="267"/>
  <c r="H44" i="267"/>
  <c r="F44" i="267"/>
  <c r="P44" i="267" s="1"/>
  <c r="E44" i="267"/>
  <c r="O43" i="267"/>
  <c r="N43" i="267"/>
  <c r="L43" i="267"/>
  <c r="K43" i="267"/>
  <c r="H43" i="267"/>
  <c r="E43" i="267"/>
  <c r="O42" i="267"/>
  <c r="N42" i="267"/>
  <c r="L42" i="267"/>
  <c r="K42" i="267"/>
  <c r="H42" i="267"/>
  <c r="F42" i="267"/>
  <c r="P42" i="267" s="1"/>
  <c r="E42" i="267"/>
  <c r="O41" i="267"/>
  <c r="N41" i="267"/>
  <c r="L41" i="267"/>
  <c r="K41" i="267"/>
  <c r="H41" i="267"/>
  <c r="F41" i="267"/>
  <c r="P41" i="267" s="1"/>
  <c r="E41" i="267"/>
  <c r="O40" i="267"/>
  <c r="N40" i="267"/>
  <c r="L40" i="267"/>
  <c r="K40" i="267"/>
  <c r="H40" i="267"/>
  <c r="F40" i="267"/>
  <c r="P40" i="267" s="1"/>
  <c r="E40" i="267"/>
  <c r="O39" i="267"/>
  <c r="N39" i="267"/>
  <c r="L39" i="267"/>
  <c r="K39" i="267"/>
  <c r="H39" i="267"/>
  <c r="F39" i="267"/>
  <c r="P39" i="267" s="1"/>
  <c r="E39" i="267"/>
  <c r="O38" i="267"/>
  <c r="N38" i="267"/>
  <c r="L38" i="267"/>
  <c r="K38" i="267"/>
  <c r="H38" i="267"/>
  <c r="F38" i="267"/>
  <c r="P38" i="267" s="1"/>
  <c r="E38" i="267"/>
  <c r="O37" i="267"/>
  <c r="N37" i="267"/>
  <c r="L37" i="267"/>
  <c r="K37" i="267"/>
  <c r="H37" i="267"/>
  <c r="F37" i="267"/>
  <c r="P37" i="267" s="1"/>
  <c r="E37" i="267"/>
  <c r="O36" i="267"/>
  <c r="N36" i="267"/>
  <c r="L36" i="267"/>
  <c r="K36" i="267"/>
  <c r="H36" i="267"/>
  <c r="F36" i="267"/>
  <c r="P36" i="267" s="1"/>
  <c r="E36" i="267"/>
  <c r="O34" i="267"/>
  <c r="N34" i="267"/>
  <c r="K34" i="267"/>
  <c r="H34" i="267"/>
  <c r="F34" i="267"/>
  <c r="P34" i="267" s="1"/>
  <c r="E34" i="267"/>
  <c r="O33" i="267"/>
  <c r="N33" i="267"/>
  <c r="K33" i="267"/>
  <c r="H33" i="267"/>
  <c r="F33" i="267"/>
  <c r="P33" i="267" s="1"/>
  <c r="E33" i="267"/>
  <c r="O32" i="267"/>
  <c r="N32" i="267"/>
  <c r="K32" i="267"/>
  <c r="H32" i="267"/>
  <c r="F32" i="267"/>
  <c r="P32" i="267" s="1"/>
  <c r="E32" i="267"/>
  <c r="O31" i="267"/>
  <c r="N31" i="267"/>
  <c r="K31" i="267"/>
  <c r="H31" i="267"/>
  <c r="F31" i="267"/>
  <c r="P31" i="267" s="1"/>
  <c r="E31" i="267"/>
  <c r="O30" i="267"/>
  <c r="N30" i="267"/>
  <c r="K30" i="267"/>
  <c r="H30" i="267"/>
  <c r="F30" i="267"/>
  <c r="P30" i="267" s="1"/>
  <c r="E30" i="267"/>
  <c r="P28" i="267"/>
  <c r="J28" i="267"/>
  <c r="D28" i="267"/>
  <c r="L28" i="267" s="1"/>
  <c r="M28" i="267" s="1"/>
  <c r="C28" i="267"/>
  <c r="H28" i="267" s="1"/>
  <c r="I28" i="267" s="1"/>
  <c r="O28" i="267" s="1"/>
  <c r="A28" i="267"/>
  <c r="P27" i="267"/>
  <c r="J27" i="267"/>
  <c r="D27" i="267"/>
  <c r="L27" i="267" s="1"/>
  <c r="M27" i="267" s="1"/>
  <c r="C27" i="267"/>
  <c r="F27" i="267" s="1"/>
  <c r="A27" i="267"/>
  <c r="P26" i="267"/>
  <c r="J26" i="267"/>
  <c r="E26" i="267" a="1"/>
  <c r="E26" i="267" s="1"/>
  <c r="D26" i="267"/>
  <c r="L26" i="267" s="1"/>
  <c r="M26" i="267" s="1"/>
  <c r="C26" i="267"/>
  <c r="F26" i="267" s="1"/>
  <c r="P25" i="267"/>
  <c r="J25" i="267"/>
  <c r="E25" i="267" a="1"/>
  <c r="E25" i="267" s="1"/>
  <c r="D25" i="267"/>
  <c r="L25" i="267" s="1"/>
  <c r="M25" i="267" s="1"/>
  <c r="C25" i="267"/>
  <c r="H25" i="267" s="1"/>
  <c r="I25" i="267" s="1"/>
  <c r="O25" i="267" s="1"/>
  <c r="P24" i="267"/>
  <c r="J24" i="267"/>
  <c r="E24" i="267" a="1"/>
  <c r="E24" i="267" s="1"/>
  <c r="D24" i="267"/>
  <c r="L24" i="267" s="1"/>
  <c r="M24" i="267" s="1"/>
  <c r="C24" i="267"/>
  <c r="F24" i="267" s="1"/>
  <c r="P23" i="267"/>
  <c r="J23" i="267"/>
  <c r="E23" i="267" a="1"/>
  <c r="E23" i="267" s="1"/>
  <c r="D23" i="267"/>
  <c r="L23" i="267" s="1"/>
  <c r="M23" i="267" s="1"/>
  <c r="C23" i="267"/>
  <c r="H23" i="267" s="1"/>
  <c r="I23" i="267" s="1"/>
  <c r="O23" i="267" s="1"/>
  <c r="P22" i="267"/>
  <c r="J22" i="267"/>
  <c r="E22" i="267" a="1"/>
  <c r="E22" i="267" s="1"/>
  <c r="D22" i="267"/>
  <c r="L22" i="267" s="1"/>
  <c r="M22" i="267" s="1"/>
  <c r="C22" i="267"/>
  <c r="F22" i="267" s="1"/>
  <c r="P21" i="267"/>
  <c r="J21" i="267"/>
  <c r="E21" i="267" a="1"/>
  <c r="E21" i="267" s="1"/>
  <c r="D21" i="267"/>
  <c r="L21" i="267" s="1"/>
  <c r="M21" i="267" s="1"/>
  <c r="C21" i="267"/>
  <c r="H21" i="267" s="1"/>
  <c r="I21" i="267" s="1"/>
  <c r="O21" i="267" s="1"/>
  <c r="J20" i="267"/>
  <c r="E20" i="267" a="1"/>
  <c r="E20" i="267" s="1"/>
  <c r="D20" i="267"/>
  <c r="L20" i="267" s="1"/>
  <c r="M20" i="267" s="1"/>
  <c r="C20" i="267"/>
  <c r="F20" i="267" s="1"/>
  <c r="J19" i="267"/>
  <c r="E19" i="267" a="1"/>
  <c r="E19" i="267" s="1"/>
  <c r="D19" i="267"/>
  <c r="L19" i="267" s="1"/>
  <c r="M19" i="267" s="1"/>
  <c r="C19" i="267"/>
  <c r="H19" i="267" s="1"/>
  <c r="N17" i="267"/>
  <c r="E17" i="267"/>
  <c r="P17" i="267" s="1"/>
  <c r="P16" i="267"/>
  <c r="N16" i="267"/>
  <c r="E16" i="267"/>
  <c r="N15" i="267"/>
  <c r="J15" i="267"/>
  <c r="J16" i="267" s="1"/>
  <c r="E15" i="267"/>
  <c r="P15" i="267" s="1"/>
  <c r="S14" i="267"/>
  <c r="P13" i="267"/>
  <c r="O13" i="267"/>
  <c r="P11" i="267"/>
  <c r="J11" i="267"/>
  <c r="J10" i="267"/>
  <c r="E10" i="267"/>
  <c r="S9" i="267"/>
  <c r="O9" i="267"/>
  <c r="J8" i="267"/>
  <c r="J9" i="267" s="1"/>
  <c r="L7" i="267"/>
  <c r="F7" i="267"/>
  <c r="X6" i="267"/>
  <c r="O92" i="267" s="1"/>
  <c r="V6" i="267"/>
  <c r="T6" i="267"/>
  <c r="R6" i="267"/>
  <c r="P5" i="267"/>
  <c r="P19" i="267" s="1"/>
  <c r="N5" i="267"/>
  <c r="M5" i="267"/>
  <c r="K5" i="267"/>
  <c r="J5" i="267"/>
  <c r="J13" i="267" s="1"/>
  <c r="J14" i="267" s="1"/>
  <c r="U6" i="267" s="1"/>
  <c r="E5" i="267"/>
  <c r="N4" i="267"/>
  <c r="M4" i="267"/>
  <c r="J4" i="267"/>
  <c r="F4" i="267"/>
  <c r="E4" i="267"/>
  <c r="F43" i="267" s="1"/>
  <c r="P43" i="267" s="1"/>
  <c r="P90" i="266"/>
  <c r="O90" i="266"/>
  <c r="K90" i="266"/>
  <c r="I90" i="266"/>
  <c r="G90" i="266"/>
  <c r="P89" i="266"/>
  <c r="O89" i="266"/>
  <c r="K89" i="266"/>
  <c r="I89" i="266"/>
  <c r="G89" i="266"/>
  <c r="P88" i="266"/>
  <c r="O88" i="266"/>
  <c r="K88" i="266"/>
  <c r="I88" i="266"/>
  <c r="G88" i="266"/>
  <c r="P87" i="266"/>
  <c r="O87" i="266"/>
  <c r="K87" i="266"/>
  <c r="I87" i="266"/>
  <c r="G87" i="266"/>
  <c r="P86" i="266"/>
  <c r="O86" i="266"/>
  <c r="K86" i="266"/>
  <c r="I86" i="266"/>
  <c r="G86" i="266"/>
  <c r="P85" i="266"/>
  <c r="O85" i="266"/>
  <c r="K85" i="266"/>
  <c r="I85" i="266"/>
  <c r="G85" i="266"/>
  <c r="P84" i="266"/>
  <c r="O84" i="266"/>
  <c r="K84" i="266"/>
  <c r="I84" i="266"/>
  <c r="G84" i="266"/>
  <c r="P83" i="266"/>
  <c r="O83" i="266"/>
  <c r="K83" i="266"/>
  <c r="I83" i="266"/>
  <c r="G83" i="266"/>
  <c r="P82" i="266"/>
  <c r="O82" i="266"/>
  <c r="K82" i="266"/>
  <c r="I82" i="266"/>
  <c r="G82" i="266"/>
  <c r="P81" i="266"/>
  <c r="O81" i="266"/>
  <c r="K81" i="266"/>
  <c r="I81" i="266"/>
  <c r="G81" i="266"/>
  <c r="P80" i="266"/>
  <c r="O80" i="266"/>
  <c r="K80" i="266"/>
  <c r="I80" i="266"/>
  <c r="G80" i="266"/>
  <c r="P79" i="266"/>
  <c r="O79" i="266"/>
  <c r="K79" i="266"/>
  <c r="I79" i="266"/>
  <c r="G79" i="266"/>
  <c r="P78" i="266"/>
  <c r="O78" i="266"/>
  <c r="K78" i="266"/>
  <c r="I78" i="266"/>
  <c r="G78" i="266"/>
  <c r="P77" i="266"/>
  <c r="O77" i="266"/>
  <c r="K77" i="266"/>
  <c r="I77" i="266"/>
  <c r="G77" i="266"/>
  <c r="P76" i="266"/>
  <c r="O76" i="266"/>
  <c r="K76" i="266"/>
  <c r="I76" i="266"/>
  <c r="G76" i="266"/>
  <c r="P75" i="266"/>
  <c r="K75" i="266"/>
  <c r="I75" i="266"/>
  <c r="G75" i="266"/>
  <c r="P74" i="266"/>
  <c r="K74" i="266"/>
  <c r="I74" i="266"/>
  <c r="G74" i="266"/>
  <c r="P73" i="266"/>
  <c r="K73" i="266"/>
  <c r="I73" i="266"/>
  <c r="G73" i="266"/>
  <c r="P71" i="266"/>
  <c r="O71" i="266"/>
  <c r="K71" i="266"/>
  <c r="G71" i="266"/>
  <c r="P70" i="266"/>
  <c r="O70" i="266"/>
  <c r="N70" i="266"/>
  <c r="K70" i="266"/>
  <c r="G70" i="266"/>
  <c r="P69" i="266"/>
  <c r="O69" i="266"/>
  <c r="N69" i="266"/>
  <c r="K69" i="266"/>
  <c r="G69" i="266"/>
  <c r="N67" i="266"/>
  <c r="F66" i="266" a="1"/>
  <c r="F66" i="266" s="1"/>
  <c r="P65" i="266"/>
  <c r="K65" i="266"/>
  <c r="E65" i="266"/>
  <c r="O64" i="266"/>
  <c r="M64" i="266"/>
  <c r="L64" i="266"/>
  <c r="L65" i="266" s="1"/>
  <c r="L66" i="266" s="1"/>
  <c r="K64" i="266"/>
  <c r="J64" i="266"/>
  <c r="H64" i="266"/>
  <c r="I64" i="266" s="1"/>
  <c r="E64" i="266"/>
  <c r="E57" i="266"/>
  <c r="P57" i="266" s="1"/>
  <c r="O56" i="266"/>
  <c r="N56" i="266"/>
  <c r="L56" i="266"/>
  <c r="K56" i="266"/>
  <c r="H56" i="266"/>
  <c r="F56" i="266"/>
  <c r="P56" i="266" s="1"/>
  <c r="E56" i="266"/>
  <c r="P55" i="266"/>
  <c r="O55" i="266"/>
  <c r="N55" i="266"/>
  <c r="L55" i="266"/>
  <c r="K55" i="266"/>
  <c r="H55" i="266"/>
  <c r="F55" i="266"/>
  <c r="E55" i="266"/>
  <c r="O54" i="266"/>
  <c r="N54" i="266"/>
  <c r="L54" i="266"/>
  <c r="K54" i="266"/>
  <c r="H54" i="266"/>
  <c r="F54" i="266"/>
  <c r="P54" i="266" s="1"/>
  <c r="E54" i="266"/>
  <c r="O53" i="266"/>
  <c r="N53" i="266"/>
  <c r="L53" i="266"/>
  <c r="K53" i="266"/>
  <c r="H53" i="266"/>
  <c r="F53" i="266"/>
  <c r="P53" i="266" s="1"/>
  <c r="E53" i="266"/>
  <c r="O52" i="266"/>
  <c r="N52" i="266"/>
  <c r="L52" i="266"/>
  <c r="K52" i="266"/>
  <c r="H52" i="266"/>
  <c r="F52" i="266"/>
  <c r="P52" i="266" s="1"/>
  <c r="E52" i="266"/>
  <c r="O51" i="266"/>
  <c r="N51" i="266"/>
  <c r="L51" i="266"/>
  <c r="K51" i="266"/>
  <c r="H51" i="266"/>
  <c r="F51" i="266"/>
  <c r="P51" i="266" s="1"/>
  <c r="E51" i="266"/>
  <c r="O50" i="266"/>
  <c r="N50" i="266"/>
  <c r="L50" i="266"/>
  <c r="K50" i="266"/>
  <c r="H50" i="266"/>
  <c r="F50" i="266"/>
  <c r="P50" i="266" s="1"/>
  <c r="E50" i="266"/>
  <c r="O49" i="266"/>
  <c r="N49" i="266"/>
  <c r="L49" i="266"/>
  <c r="K49" i="266"/>
  <c r="H49" i="266"/>
  <c r="F49" i="266"/>
  <c r="P49" i="266" s="1"/>
  <c r="E49" i="266"/>
  <c r="O48" i="266"/>
  <c r="N48" i="266"/>
  <c r="L48" i="266"/>
  <c r="K48" i="266"/>
  <c r="H48" i="266"/>
  <c r="F48" i="266"/>
  <c r="P48" i="266" s="1"/>
  <c r="E48" i="266"/>
  <c r="O47" i="266"/>
  <c r="N47" i="266"/>
  <c r="L47" i="266"/>
  <c r="K47" i="266"/>
  <c r="H47" i="266"/>
  <c r="F47" i="266"/>
  <c r="P47" i="266" s="1"/>
  <c r="E47" i="266"/>
  <c r="O46" i="266"/>
  <c r="N46" i="266"/>
  <c r="L46" i="266"/>
  <c r="K46" i="266"/>
  <c r="H46" i="266"/>
  <c r="F46" i="266"/>
  <c r="P46" i="266" s="1"/>
  <c r="E46" i="266"/>
  <c r="O45" i="266"/>
  <c r="N45" i="266"/>
  <c r="L45" i="266"/>
  <c r="K45" i="266"/>
  <c r="H45" i="266"/>
  <c r="F45" i="266"/>
  <c r="P45" i="266" s="1"/>
  <c r="E45" i="266"/>
  <c r="O44" i="266"/>
  <c r="N44" i="266"/>
  <c r="L44" i="266"/>
  <c r="K44" i="266"/>
  <c r="H44" i="266"/>
  <c r="F44" i="266"/>
  <c r="P44" i="266" s="1"/>
  <c r="E44" i="266"/>
  <c r="O43" i="266"/>
  <c r="N43" i="266"/>
  <c r="L43" i="266"/>
  <c r="K43" i="266"/>
  <c r="H43" i="266"/>
  <c r="E43" i="266"/>
  <c r="O42" i="266"/>
  <c r="N42" i="266"/>
  <c r="L42" i="266"/>
  <c r="K42" i="266"/>
  <c r="H42" i="266"/>
  <c r="E42" i="266"/>
  <c r="O41" i="266"/>
  <c r="N41" i="266"/>
  <c r="L41" i="266"/>
  <c r="K41" i="266"/>
  <c r="H41" i="266"/>
  <c r="F41" i="266"/>
  <c r="P41" i="266" s="1"/>
  <c r="E41" i="266"/>
  <c r="O40" i="266"/>
  <c r="N40" i="266"/>
  <c r="L40" i="266"/>
  <c r="K40" i="266"/>
  <c r="H40" i="266"/>
  <c r="F40" i="266"/>
  <c r="P40" i="266" s="1"/>
  <c r="E40" i="266"/>
  <c r="O39" i="266"/>
  <c r="N39" i="266"/>
  <c r="L39" i="266"/>
  <c r="K39" i="266"/>
  <c r="H39" i="266"/>
  <c r="F39" i="266"/>
  <c r="P39" i="266" s="1"/>
  <c r="E39" i="266"/>
  <c r="O38" i="266"/>
  <c r="N38" i="266"/>
  <c r="L38" i="266"/>
  <c r="K38" i="266"/>
  <c r="H38" i="266"/>
  <c r="F38" i="266"/>
  <c r="P38" i="266" s="1"/>
  <c r="E38" i="266"/>
  <c r="O37" i="266"/>
  <c r="N37" i="266"/>
  <c r="L37" i="266"/>
  <c r="K37" i="266"/>
  <c r="H37" i="266"/>
  <c r="F37" i="266"/>
  <c r="P37" i="266" s="1"/>
  <c r="E37" i="266"/>
  <c r="O36" i="266"/>
  <c r="N36" i="266"/>
  <c r="L36" i="266"/>
  <c r="K36" i="266"/>
  <c r="H36" i="266"/>
  <c r="F36" i="266"/>
  <c r="P36" i="266" s="1"/>
  <c r="E36" i="266"/>
  <c r="O34" i="266"/>
  <c r="N34" i="266"/>
  <c r="K34" i="266"/>
  <c r="H34" i="266"/>
  <c r="F34" i="266"/>
  <c r="P34" i="266" s="1"/>
  <c r="E34" i="266"/>
  <c r="O33" i="266"/>
  <c r="N33" i="266"/>
  <c r="K33" i="266"/>
  <c r="H33" i="266"/>
  <c r="F33" i="266"/>
  <c r="P33" i="266" s="1"/>
  <c r="E33" i="266"/>
  <c r="O32" i="266"/>
  <c r="N32" i="266"/>
  <c r="K32" i="266"/>
  <c r="H32" i="266"/>
  <c r="F32" i="266"/>
  <c r="P32" i="266" s="1"/>
  <c r="E32" i="266"/>
  <c r="O31" i="266"/>
  <c r="N31" i="266"/>
  <c r="K31" i="266"/>
  <c r="H31" i="266"/>
  <c r="F31" i="266"/>
  <c r="P31" i="266" s="1"/>
  <c r="E31" i="266"/>
  <c r="O30" i="266"/>
  <c r="N30" i="266"/>
  <c r="K30" i="266"/>
  <c r="H30" i="266"/>
  <c r="F30" i="266"/>
  <c r="P30" i="266" s="1"/>
  <c r="E30" i="266"/>
  <c r="P28" i="266"/>
  <c r="J28" i="266"/>
  <c r="D28" i="266"/>
  <c r="L28" i="266" s="1"/>
  <c r="M28" i="266" s="1"/>
  <c r="C28" i="266"/>
  <c r="H28" i="266" s="1"/>
  <c r="I28" i="266" s="1"/>
  <c r="O28" i="266" s="1"/>
  <c r="A28" i="266"/>
  <c r="P27" i="266"/>
  <c r="J27" i="266"/>
  <c r="D27" i="266"/>
  <c r="L27" i="266" s="1"/>
  <c r="M27" i="266" s="1"/>
  <c r="C27" i="266"/>
  <c r="H27" i="266" s="1"/>
  <c r="I27" i="266" s="1"/>
  <c r="O27" i="266" s="1"/>
  <c r="A27" i="266"/>
  <c r="P26" i="266"/>
  <c r="J26" i="266"/>
  <c r="E26" i="266" a="1"/>
  <c r="E26" i="266" s="1"/>
  <c r="D26" i="266"/>
  <c r="L26" i="266" s="1"/>
  <c r="M26" i="266" s="1"/>
  <c r="C26" i="266"/>
  <c r="H26" i="266" s="1"/>
  <c r="I26" i="266" s="1"/>
  <c r="O26" i="266" s="1"/>
  <c r="P25" i="266"/>
  <c r="J25" i="266"/>
  <c r="E25" i="266" a="1"/>
  <c r="E25" i="266" s="1"/>
  <c r="D25" i="266"/>
  <c r="L25" i="266" s="1"/>
  <c r="M25" i="266" s="1"/>
  <c r="C25" i="266"/>
  <c r="H25" i="266" s="1"/>
  <c r="I25" i="266" s="1"/>
  <c r="O25" i="266" s="1"/>
  <c r="P24" i="266"/>
  <c r="J24" i="266"/>
  <c r="E24" i="266" a="1"/>
  <c r="E24" i="266" s="1"/>
  <c r="D24" i="266"/>
  <c r="L24" i="266" s="1"/>
  <c r="M24" i="266" s="1"/>
  <c r="C24" i="266"/>
  <c r="H24" i="266" s="1"/>
  <c r="I24" i="266" s="1"/>
  <c r="O24" i="266" s="1"/>
  <c r="P23" i="266"/>
  <c r="J23" i="266"/>
  <c r="E23" i="266" a="1"/>
  <c r="E23" i="266" s="1"/>
  <c r="D23" i="266"/>
  <c r="L23" i="266" s="1"/>
  <c r="M23" i="266" s="1"/>
  <c r="C23" i="266"/>
  <c r="H23" i="266" s="1"/>
  <c r="I23" i="266" s="1"/>
  <c r="O23" i="266" s="1"/>
  <c r="P22" i="266"/>
  <c r="J22" i="266"/>
  <c r="E22" i="266" a="1"/>
  <c r="E22" i="266" s="1"/>
  <c r="D22" i="266"/>
  <c r="L22" i="266" s="1"/>
  <c r="M22" i="266" s="1"/>
  <c r="C22" i="266"/>
  <c r="H22" i="266" s="1"/>
  <c r="I22" i="266" s="1"/>
  <c r="O22" i="266" s="1"/>
  <c r="P21" i="266"/>
  <c r="J21" i="266"/>
  <c r="E21" i="266" a="1"/>
  <c r="E21" i="266" s="1"/>
  <c r="D21" i="266"/>
  <c r="L21" i="266" s="1"/>
  <c r="M21" i="266" s="1"/>
  <c r="C21" i="266"/>
  <c r="H21" i="266" s="1"/>
  <c r="I21" i="266" s="1"/>
  <c r="O21" i="266" s="1"/>
  <c r="P20" i="266"/>
  <c r="J20" i="266"/>
  <c r="D20" i="266"/>
  <c r="L20" i="266" s="1"/>
  <c r="M20" i="266" s="1"/>
  <c r="C20" i="266"/>
  <c r="H20" i="266" s="1"/>
  <c r="I20" i="266" s="1"/>
  <c r="O20" i="266" s="1"/>
  <c r="P19" i="266"/>
  <c r="J19" i="266"/>
  <c r="D19" i="266"/>
  <c r="L19" i="266" s="1"/>
  <c r="M19" i="266" s="1"/>
  <c r="C19" i="266"/>
  <c r="H19" i="266" s="1"/>
  <c r="N17" i="266"/>
  <c r="E17" i="266"/>
  <c r="P17" i="266" s="1"/>
  <c r="P16" i="266"/>
  <c r="N16" i="266"/>
  <c r="E16" i="266"/>
  <c r="N15" i="266"/>
  <c r="J15" i="266"/>
  <c r="J16" i="266" s="1"/>
  <c r="E15" i="266"/>
  <c r="P15" i="266" s="1"/>
  <c r="S14" i="266"/>
  <c r="P13" i="266"/>
  <c r="O13" i="266"/>
  <c r="J13" i="266"/>
  <c r="J14" i="266" s="1"/>
  <c r="U6" i="266" s="1"/>
  <c r="P11" i="266"/>
  <c r="J11" i="266"/>
  <c r="P10" i="266"/>
  <c r="J10" i="266"/>
  <c r="E10" i="266"/>
  <c r="S9" i="266"/>
  <c r="O9" i="266"/>
  <c r="J8" i="266"/>
  <c r="J9" i="266" s="1"/>
  <c r="L7" i="266"/>
  <c r="F7" i="266"/>
  <c r="X6" i="266"/>
  <c r="O92" i="266" s="1"/>
  <c r="V6" i="266"/>
  <c r="T6" i="266"/>
  <c r="R6" i="266"/>
  <c r="P5" i="266"/>
  <c r="P8" i="266" s="1"/>
  <c r="N5" i="266"/>
  <c r="M5" i="266"/>
  <c r="K5" i="266"/>
  <c r="J5" i="266"/>
  <c r="E5" i="266"/>
  <c r="N4" i="266"/>
  <c r="M4" i="266"/>
  <c r="J4" i="266"/>
  <c r="F4" i="266"/>
  <c r="E4" i="266"/>
  <c r="F43" i="266" s="1"/>
  <c r="P43" i="266" s="1"/>
  <c r="P90" i="265"/>
  <c r="O90" i="265"/>
  <c r="K90" i="265"/>
  <c r="I90" i="265"/>
  <c r="G90" i="265"/>
  <c r="P89" i="265"/>
  <c r="O89" i="265"/>
  <c r="K89" i="265"/>
  <c r="I89" i="265"/>
  <c r="G89" i="265"/>
  <c r="P88" i="265"/>
  <c r="O88" i="265"/>
  <c r="K88" i="265"/>
  <c r="I88" i="265"/>
  <c r="G88" i="265"/>
  <c r="P87" i="265"/>
  <c r="O87" i="265"/>
  <c r="K87" i="265"/>
  <c r="I87" i="265"/>
  <c r="G87" i="265"/>
  <c r="P86" i="265"/>
  <c r="O86" i="265"/>
  <c r="K86" i="265"/>
  <c r="I86" i="265"/>
  <c r="G86" i="265"/>
  <c r="P85" i="265"/>
  <c r="O85" i="265"/>
  <c r="K85" i="265"/>
  <c r="I85" i="265"/>
  <c r="G85" i="265"/>
  <c r="P84" i="265"/>
  <c r="O84" i="265"/>
  <c r="K84" i="265"/>
  <c r="I84" i="265"/>
  <c r="G84" i="265"/>
  <c r="P83" i="265"/>
  <c r="O83" i="265"/>
  <c r="K83" i="265"/>
  <c r="I83" i="265"/>
  <c r="G83" i="265"/>
  <c r="P82" i="265"/>
  <c r="O82" i="265"/>
  <c r="K82" i="265"/>
  <c r="I82" i="265"/>
  <c r="G82" i="265"/>
  <c r="P81" i="265"/>
  <c r="O81" i="265"/>
  <c r="K81" i="265"/>
  <c r="I81" i="265"/>
  <c r="G81" i="265"/>
  <c r="P80" i="265"/>
  <c r="O80" i="265"/>
  <c r="K80" i="265"/>
  <c r="I80" i="265"/>
  <c r="G80" i="265"/>
  <c r="P79" i="265"/>
  <c r="O79" i="265"/>
  <c r="K79" i="265"/>
  <c r="I79" i="265"/>
  <c r="G79" i="265"/>
  <c r="P78" i="265"/>
  <c r="O78" i="265"/>
  <c r="K78" i="265"/>
  <c r="I78" i="265"/>
  <c r="G78" i="265"/>
  <c r="P77" i="265"/>
  <c r="O77" i="265"/>
  <c r="K77" i="265"/>
  <c r="I77" i="265"/>
  <c r="G77" i="265"/>
  <c r="P76" i="265"/>
  <c r="O76" i="265"/>
  <c r="K76" i="265"/>
  <c r="I76" i="265"/>
  <c r="G76" i="265"/>
  <c r="P75" i="265"/>
  <c r="K75" i="265"/>
  <c r="I75" i="265"/>
  <c r="G75" i="265"/>
  <c r="P74" i="265"/>
  <c r="K74" i="265"/>
  <c r="I74" i="265"/>
  <c r="G74" i="265"/>
  <c r="P73" i="265"/>
  <c r="K73" i="265"/>
  <c r="I73" i="265"/>
  <c r="G73" i="265"/>
  <c r="P71" i="265"/>
  <c r="O71" i="265"/>
  <c r="K71" i="265"/>
  <c r="G71" i="265"/>
  <c r="P70" i="265"/>
  <c r="O70" i="265"/>
  <c r="N70" i="265"/>
  <c r="K70" i="265"/>
  <c r="G70" i="265"/>
  <c r="P69" i="265"/>
  <c r="O69" i="265"/>
  <c r="N69" i="265"/>
  <c r="K69" i="265"/>
  <c r="G69" i="265"/>
  <c r="N67" i="265"/>
  <c r="F66" i="265" a="1"/>
  <c r="F66" i="265" s="1"/>
  <c r="P65" i="265"/>
  <c r="K65" i="265"/>
  <c r="E65" i="265"/>
  <c r="O64" i="265"/>
  <c r="M64" i="265"/>
  <c r="L64" i="265"/>
  <c r="P64" i="265" s="1"/>
  <c r="K64" i="265"/>
  <c r="J64" i="265"/>
  <c r="H64" i="265"/>
  <c r="I64" i="265" s="1"/>
  <c r="E64" i="265"/>
  <c r="E57" i="265"/>
  <c r="P57" i="265" s="1"/>
  <c r="O56" i="265"/>
  <c r="N56" i="265"/>
  <c r="L56" i="265"/>
  <c r="K56" i="265"/>
  <c r="H56" i="265"/>
  <c r="F56" i="265"/>
  <c r="P56" i="265" s="1"/>
  <c r="E56" i="265"/>
  <c r="O55" i="265"/>
  <c r="N55" i="265"/>
  <c r="L55" i="265"/>
  <c r="K55" i="265"/>
  <c r="H55" i="265"/>
  <c r="F55" i="265"/>
  <c r="P55" i="265" s="1"/>
  <c r="E55" i="265"/>
  <c r="O54" i="265"/>
  <c r="N54" i="265"/>
  <c r="L54" i="265"/>
  <c r="K54" i="265"/>
  <c r="H54" i="265"/>
  <c r="F54" i="265"/>
  <c r="P54" i="265" s="1"/>
  <c r="E54" i="265"/>
  <c r="O53" i="265"/>
  <c r="N53" i="265"/>
  <c r="L53" i="265"/>
  <c r="K53" i="265"/>
  <c r="H53" i="265"/>
  <c r="F53" i="265"/>
  <c r="P53" i="265" s="1"/>
  <c r="E53" i="265"/>
  <c r="O52" i="265"/>
  <c r="N52" i="265"/>
  <c r="L52" i="265"/>
  <c r="K52" i="265"/>
  <c r="H52" i="265"/>
  <c r="F52" i="265"/>
  <c r="P52" i="265" s="1"/>
  <c r="E52" i="265"/>
  <c r="O51" i="265"/>
  <c r="N51" i="265"/>
  <c r="L51" i="265"/>
  <c r="K51" i="265"/>
  <c r="H51" i="265"/>
  <c r="F51" i="265"/>
  <c r="P51" i="265" s="1"/>
  <c r="E51" i="265"/>
  <c r="O50" i="265"/>
  <c r="N50" i="265"/>
  <c r="L50" i="265"/>
  <c r="K50" i="265"/>
  <c r="H50" i="265"/>
  <c r="F50" i="265"/>
  <c r="P50" i="265" s="1"/>
  <c r="E50" i="265"/>
  <c r="O49" i="265"/>
  <c r="N49" i="265"/>
  <c r="L49" i="265"/>
  <c r="K49" i="265"/>
  <c r="H49" i="265"/>
  <c r="F49" i="265"/>
  <c r="P49" i="265" s="1"/>
  <c r="E49" i="265"/>
  <c r="O48" i="265"/>
  <c r="N48" i="265"/>
  <c r="L48" i="265"/>
  <c r="K48" i="265"/>
  <c r="H48" i="265"/>
  <c r="F48" i="265"/>
  <c r="P48" i="265" s="1"/>
  <c r="E48" i="265"/>
  <c r="O47" i="265"/>
  <c r="N47" i="265"/>
  <c r="L47" i="265"/>
  <c r="K47" i="265"/>
  <c r="H47" i="265"/>
  <c r="F47" i="265"/>
  <c r="P47" i="265" s="1"/>
  <c r="E47" i="265"/>
  <c r="O46" i="265"/>
  <c r="N46" i="265"/>
  <c r="L46" i="265"/>
  <c r="K46" i="265"/>
  <c r="H46" i="265"/>
  <c r="F46" i="265"/>
  <c r="P46" i="265" s="1"/>
  <c r="E46" i="265"/>
  <c r="O45" i="265"/>
  <c r="N45" i="265"/>
  <c r="L45" i="265"/>
  <c r="K45" i="265"/>
  <c r="H45" i="265"/>
  <c r="F45" i="265"/>
  <c r="P45" i="265" s="1"/>
  <c r="E45" i="265"/>
  <c r="O44" i="265"/>
  <c r="N44" i="265"/>
  <c r="L44" i="265"/>
  <c r="K44" i="265"/>
  <c r="H44" i="265"/>
  <c r="F44" i="265"/>
  <c r="P44" i="265" s="1"/>
  <c r="E44" i="265"/>
  <c r="O43" i="265"/>
  <c r="N43" i="265"/>
  <c r="L43" i="265"/>
  <c r="K43" i="265"/>
  <c r="H43" i="265"/>
  <c r="E43" i="265"/>
  <c r="O42" i="265"/>
  <c r="N42" i="265"/>
  <c r="L42" i="265"/>
  <c r="K42" i="265"/>
  <c r="H42" i="265"/>
  <c r="E42" i="265"/>
  <c r="O41" i="265"/>
  <c r="N41" i="265"/>
  <c r="L41" i="265"/>
  <c r="K41" i="265"/>
  <c r="H41" i="265"/>
  <c r="F41" i="265"/>
  <c r="P41" i="265" s="1"/>
  <c r="E41" i="265"/>
  <c r="O40" i="265"/>
  <c r="N40" i="265"/>
  <c r="L40" i="265"/>
  <c r="K40" i="265"/>
  <c r="H40" i="265"/>
  <c r="E40" i="265"/>
  <c r="O39" i="265"/>
  <c r="N39" i="265"/>
  <c r="L39" i="265"/>
  <c r="K39" i="265"/>
  <c r="H39" i="265"/>
  <c r="F39" i="265"/>
  <c r="P39" i="265" s="1"/>
  <c r="E39" i="265"/>
  <c r="O38" i="265"/>
  <c r="N38" i="265"/>
  <c r="L38" i="265"/>
  <c r="K38" i="265"/>
  <c r="H38" i="265"/>
  <c r="F38" i="265"/>
  <c r="P38" i="265" s="1"/>
  <c r="E38" i="265"/>
  <c r="O37" i="265"/>
  <c r="N37" i="265"/>
  <c r="L37" i="265"/>
  <c r="K37" i="265"/>
  <c r="H37" i="265"/>
  <c r="F37" i="265"/>
  <c r="P37" i="265" s="1"/>
  <c r="E37" i="265"/>
  <c r="O36" i="265"/>
  <c r="N36" i="265"/>
  <c r="L36" i="265"/>
  <c r="K36" i="265"/>
  <c r="H36" i="265"/>
  <c r="F36" i="265"/>
  <c r="P36" i="265" s="1"/>
  <c r="E36" i="265"/>
  <c r="O34" i="265"/>
  <c r="N34" i="265"/>
  <c r="K34" i="265"/>
  <c r="H34" i="265"/>
  <c r="F34" i="265"/>
  <c r="P34" i="265" s="1"/>
  <c r="E34" i="265"/>
  <c r="O33" i="265"/>
  <c r="N33" i="265"/>
  <c r="K33" i="265"/>
  <c r="H33" i="265"/>
  <c r="F33" i="265"/>
  <c r="P33" i="265" s="1"/>
  <c r="E33" i="265"/>
  <c r="O32" i="265"/>
  <c r="N32" i="265"/>
  <c r="K32" i="265"/>
  <c r="H32" i="265"/>
  <c r="F32" i="265"/>
  <c r="P32" i="265" s="1"/>
  <c r="E32" i="265"/>
  <c r="O31" i="265"/>
  <c r="N31" i="265"/>
  <c r="K31" i="265"/>
  <c r="H31" i="265"/>
  <c r="F31" i="265"/>
  <c r="P31" i="265" s="1"/>
  <c r="E31" i="265"/>
  <c r="O30" i="265"/>
  <c r="N30" i="265"/>
  <c r="K30" i="265"/>
  <c r="H30" i="265"/>
  <c r="F30" i="265"/>
  <c r="P30" i="265" s="1"/>
  <c r="E30" i="265"/>
  <c r="P28" i="265"/>
  <c r="J28" i="265"/>
  <c r="D28" i="265"/>
  <c r="L28" i="265" s="1"/>
  <c r="M28" i="265" s="1"/>
  <c r="C28" i="265"/>
  <c r="H28" i="265" s="1"/>
  <c r="I28" i="265" s="1"/>
  <c r="O28" i="265" s="1"/>
  <c r="A28" i="265"/>
  <c r="P27" i="265"/>
  <c r="J27" i="265"/>
  <c r="D27" i="265"/>
  <c r="L27" i="265" s="1"/>
  <c r="M27" i="265" s="1"/>
  <c r="C27" i="265"/>
  <c r="H27" i="265" s="1"/>
  <c r="I27" i="265" s="1"/>
  <c r="O27" i="265" s="1"/>
  <c r="A27" i="265"/>
  <c r="P26" i="265"/>
  <c r="J26" i="265"/>
  <c r="E26" i="265" a="1"/>
  <c r="E26" i="265" s="1"/>
  <c r="D26" i="265"/>
  <c r="L26" i="265" s="1"/>
  <c r="M26" i="265" s="1"/>
  <c r="C26" i="265"/>
  <c r="F26" i="265" s="1"/>
  <c r="P25" i="265"/>
  <c r="J25" i="265"/>
  <c r="E25" i="265" a="1"/>
  <c r="E25" i="265" s="1"/>
  <c r="D25" i="265"/>
  <c r="L25" i="265" s="1"/>
  <c r="M25" i="265" s="1"/>
  <c r="C25" i="265"/>
  <c r="H25" i="265" s="1"/>
  <c r="I25" i="265" s="1"/>
  <c r="O25" i="265" s="1"/>
  <c r="P24" i="265"/>
  <c r="J24" i="265"/>
  <c r="E24" i="265" a="1"/>
  <c r="E24" i="265" s="1"/>
  <c r="D24" i="265"/>
  <c r="L24" i="265" s="1"/>
  <c r="M24" i="265" s="1"/>
  <c r="C24" i="265"/>
  <c r="F24" i="265" s="1"/>
  <c r="P23" i="265"/>
  <c r="J23" i="265"/>
  <c r="E23" i="265" a="1"/>
  <c r="E23" i="265" s="1"/>
  <c r="D23" i="265"/>
  <c r="L23" i="265" s="1"/>
  <c r="M23" i="265" s="1"/>
  <c r="C23" i="265"/>
  <c r="H23" i="265" s="1"/>
  <c r="I23" i="265" s="1"/>
  <c r="O23" i="265" s="1"/>
  <c r="P22" i="265"/>
  <c r="J22" i="265"/>
  <c r="E22" i="265" a="1"/>
  <c r="E22" i="265" s="1"/>
  <c r="D22" i="265"/>
  <c r="L22" i="265" s="1"/>
  <c r="M22" i="265" s="1"/>
  <c r="C22" i="265"/>
  <c r="F22" i="265" s="1"/>
  <c r="P21" i="265"/>
  <c r="J21" i="265"/>
  <c r="E21" i="265" a="1"/>
  <c r="E21" i="265" s="1"/>
  <c r="D21" i="265"/>
  <c r="L21" i="265" s="1"/>
  <c r="M21" i="265" s="1"/>
  <c r="C21" i="265"/>
  <c r="H21" i="265" s="1"/>
  <c r="I21" i="265" s="1"/>
  <c r="O21" i="265" s="1"/>
  <c r="J20" i="265"/>
  <c r="D20" i="265"/>
  <c r="L20" i="265" s="1"/>
  <c r="M20" i="265" s="1"/>
  <c r="C20" i="265"/>
  <c r="F20" i="265" s="1"/>
  <c r="J19" i="265"/>
  <c r="D19" i="265"/>
  <c r="L19" i="265" s="1"/>
  <c r="M19" i="265" s="1"/>
  <c r="C19" i="265"/>
  <c r="H19" i="265" s="1"/>
  <c r="N17" i="265"/>
  <c r="E17" i="265"/>
  <c r="P17" i="265" s="1"/>
  <c r="P16" i="265"/>
  <c r="N16" i="265"/>
  <c r="E16" i="265"/>
  <c r="N15" i="265"/>
  <c r="J15" i="265"/>
  <c r="J16" i="265" s="1"/>
  <c r="E15" i="265"/>
  <c r="P15" i="265" s="1"/>
  <c r="S14" i="265"/>
  <c r="P13" i="265"/>
  <c r="O13" i="265"/>
  <c r="P11" i="265"/>
  <c r="J11" i="265"/>
  <c r="J10" i="265"/>
  <c r="E10" i="265"/>
  <c r="S9" i="265"/>
  <c r="O9" i="265"/>
  <c r="J8" i="265"/>
  <c r="J9" i="265" s="1"/>
  <c r="L7" i="265"/>
  <c r="F7" i="265"/>
  <c r="X6" i="265"/>
  <c r="O92" i="265" s="1"/>
  <c r="V6" i="265"/>
  <c r="T6" i="265"/>
  <c r="R6" i="265"/>
  <c r="P5" i="265"/>
  <c r="P8" i="265" s="1"/>
  <c r="N5" i="265"/>
  <c r="M5" i="265"/>
  <c r="K5" i="265"/>
  <c r="J5" i="265"/>
  <c r="J13" i="265" s="1"/>
  <c r="J14" i="265" s="1"/>
  <c r="U6" i="265" s="1"/>
  <c r="E5" i="265"/>
  <c r="N4" i="265"/>
  <c r="M4" i="265"/>
  <c r="J4" i="265"/>
  <c r="F4" i="265"/>
  <c r="E4" i="265"/>
  <c r="E9" i="265" s="1"/>
  <c r="P9" i="265" s="1"/>
  <c r="P64" i="275" l="1"/>
  <c r="P67" i="275" s="1"/>
  <c r="J67" i="275"/>
  <c r="L65" i="275"/>
  <c r="L66" i="275" s="1"/>
  <c r="L67" i="275" s="1"/>
  <c r="H66" i="275"/>
  <c r="I66" i="275" s="1"/>
  <c r="P7" i="275" a="1"/>
  <c r="P7" i="275" s="1"/>
  <c r="S11" i="275"/>
  <c r="K14" i="275"/>
  <c r="S10" i="275"/>
  <c r="I19" i="275"/>
  <c r="O19" i="275" s="1"/>
  <c r="O76" i="275"/>
  <c r="O75" i="275"/>
  <c r="O74" i="275"/>
  <c r="O73" i="275"/>
  <c r="F19" i="275"/>
  <c r="F21" i="275"/>
  <c r="F23" i="275"/>
  <c r="F25" i="275"/>
  <c r="H27" i="275"/>
  <c r="I27" i="275" s="1"/>
  <c r="O27" i="275" s="1"/>
  <c r="P66" i="275" a="1"/>
  <c r="P66" i="275" s="1"/>
  <c r="S13" i="275"/>
  <c r="F28" i="275"/>
  <c r="E9" i="275"/>
  <c r="P9" i="275" s="1"/>
  <c r="F20" i="275"/>
  <c r="F22" i="275"/>
  <c r="F24" i="275"/>
  <c r="F26" i="275"/>
  <c r="E20" i="275" a="1"/>
  <c r="E20" i="275" s="1"/>
  <c r="S11" i="274"/>
  <c r="K14" i="274"/>
  <c r="S10" i="274"/>
  <c r="I19" i="274"/>
  <c r="O19" i="274" s="1"/>
  <c r="E2" i="274"/>
  <c r="P67" i="274"/>
  <c r="O76" i="274"/>
  <c r="O75" i="274"/>
  <c r="O74" i="274"/>
  <c r="O77" i="274"/>
  <c r="O78" i="274"/>
  <c r="O73" i="274"/>
  <c r="F19" i="274"/>
  <c r="F21" i="274"/>
  <c r="F23" i="274"/>
  <c r="F25" i="274"/>
  <c r="H27" i="274"/>
  <c r="I27" i="274" s="1"/>
  <c r="O27" i="274" s="1"/>
  <c r="P66" i="274" a="1"/>
  <c r="P66" i="274" s="1"/>
  <c r="P91" i="274" s="1"/>
  <c r="J7" i="274"/>
  <c r="S13" i="274"/>
  <c r="F20" i="274"/>
  <c r="F22" i="274"/>
  <c r="F24" i="274"/>
  <c r="F26" i="274"/>
  <c r="F28" i="274"/>
  <c r="H66" i="270"/>
  <c r="P66" i="270" s="1" a="1"/>
  <c r="P66" i="270" s="1"/>
  <c r="P64" i="270"/>
  <c r="P67" i="270" s="1"/>
  <c r="J67" i="270"/>
  <c r="A7" i="271"/>
  <c r="N7" i="272"/>
  <c r="S12" i="272" s="1"/>
  <c r="A7" i="272"/>
  <c r="L66" i="273"/>
  <c r="L67" i="273" s="1"/>
  <c r="J67" i="273"/>
  <c r="P64" i="273"/>
  <c r="P67" i="273" s="1"/>
  <c r="H66" i="273"/>
  <c r="S13" i="273" s="1"/>
  <c r="S11" i="273"/>
  <c r="K14" i="273"/>
  <c r="I19" i="273"/>
  <c r="O19" i="273" s="1"/>
  <c r="S10" i="273"/>
  <c r="F27" i="273"/>
  <c r="I66" i="273"/>
  <c r="E7" i="273" a="1"/>
  <c r="E7" i="273" s="1"/>
  <c r="P7" i="273" s="1" a="1"/>
  <c r="P7" i="273" s="1"/>
  <c r="P66" i="273" a="1"/>
  <c r="P66" i="273" s="1"/>
  <c r="J7" i="273"/>
  <c r="F42" i="273"/>
  <c r="P42" i="273" s="1"/>
  <c r="F20" i="273"/>
  <c r="F22" i="273"/>
  <c r="F24" i="273"/>
  <c r="H26" i="273"/>
  <c r="I26" i="273" s="1"/>
  <c r="O26" i="273" s="1"/>
  <c r="E20" i="273" a="1"/>
  <c r="E20" i="273" s="1"/>
  <c r="F28" i="273"/>
  <c r="H66" i="272"/>
  <c r="S13" i="272" s="1"/>
  <c r="J67" i="272"/>
  <c r="P64" i="272"/>
  <c r="P67" i="272" s="1"/>
  <c r="L65" i="272"/>
  <c r="L66" i="272" s="1"/>
  <c r="L67" i="272" s="1"/>
  <c r="S11" i="272"/>
  <c r="K14" i="272"/>
  <c r="P7" i="272" a="1"/>
  <c r="P7" i="272" s="1"/>
  <c r="H19" i="272"/>
  <c r="J7" i="272"/>
  <c r="I66" i="272"/>
  <c r="H21" i="272"/>
  <c r="I21" i="272" s="1"/>
  <c r="O21" i="272" s="1"/>
  <c r="H23" i="272"/>
  <c r="I23" i="272" s="1"/>
  <c r="O23" i="272" s="1"/>
  <c r="H25" i="272"/>
  <c r="I25" i="272" s="1"/>
  <c r="O25" i="272" s="1"/>
  <c r="E20" i="272" a="1"/>
  <c r="E20" i="272" s="1"/>
  <c r="F28" i="272"/>
  <c r="E9" i="272"/>
  <c r="P9" i="272" s="1"/>
  <c r="F27" i="272"/>
  <c r="H20" i="272"/>
  <c r="I20" i="272" s="1"/>
  <c r="O20" i="272" s="1"/>
  <c r="H22" i="272"/>
  <c r="I22" i="272" s="1"/>
  <c r="O22" i="272" s="1"/>
  <c r="H24" i="272"/>
  <c r="I24" i="272" s="1"/>
  <c r="O24" i="272" s="1"/>
  <c r="P66" i="272" a="1"/>
  <c r="P66" i="272" s="1"/>
  <c r="F26" i="272"/>
  <c r="L67" i="271"/>
  <c r="J67" i="271"/>
  <c r="L66" i="270"/>
  <c r="L67" i="270" s="1"/>
  <c r="N7" i="271"/>
  <c r="S12" i="271" s="1"/>
  <c r="S10" i="271"/>
  <c r="I19" i="271"/>
  <c r="O19" i="271" s="1"/>
  <c r="K14" i="271"/>
  <c r="S11" i="271"/>
  <c r="O75" i="271"/>
  <c r="O74" i="271"/>
  <c r="O73" i="271"/>
  <c r="P67" i="271"/>
  <c r="E19" i="271" a="1"/>
  <c r="E19" i="271" s="1"/>
  <c r="F41" i="271"/>
  <c r="P41" i="271" s="1"/>
  <c r="F27" i="271"/>
  <c r="E7" i="271" a="1"/>
  <c r="E7" i="271" s="1"/>
  <c r="P7" i="271" s="1" a="1"/>
  <c r="P7" i="271" s="1"/>
  <c r="F19" i="271"/>
  <c r="F21" i="271"/>
  <c r="F23" i="271"/>
  <c r="F25" i="271"/>
  <c r="P66" i="271" a="1"/>
  <c r="P66" i="271" s="1"/>
  <c r="J7" i="271"/>
  <c r="E64" i="271"/>
  <c r="E9" i="271"/>
  <c r="P9" i="271" s="1"/>
  <c r="H28" i="271"/>
  <c r="I28" i="271" s="1"/>
  <c r="O28" i="271" s="1"/>
  <c r="F20" i="271"/>
  <c r="H22" i="271"/>
  <c r="I22" i="271" s="1"/>
  <c r="O22" i="271" s="1"/>
  <c r="H24" i="271"/>
  <c r="I24" i="271" s="1"/>
  <c r="O24" i="271" s="1"/>
  <c r="H26" i="271"/>
  <c r="I26" i="271" s="1"/>
  <c r="O26" i="271" s="1"/>
  <c r="J7" i="270"/>
  <c r="I19" i="270"/>
  <c r="O19" i="270" s="1"/>
  <c r="S10" i="270"/>
  <c r="P10" i="270"/>
  <c r="P20" i="270"/>
  <c r="E19" i="270" a="1"/>
  <c r="E19" i="270" s="1"/>
  <c r="A7" i="270"/>
  <c r="S11" i="270"/>
  <c r="F27" i="270"/>
  <c r="F19" i="270"/>
  <c r="F21" i="270"/>
  <c r="F23" i="270"/>
  <c r="F25" i="270"/>
  <c r="N7" i="270"/>
  <c r="S12" i="270" s="1"/>
  <c r="F39" i="270"/>
  <c r="P39" i="270" s="1"/>
  <c r="P14" i="270"/>
  <c r="P19" i="270"/>
  <c r="E64" i="270"/>
  <c r="E20" i="270" a="1"/>
  <c r="E20" i="270" s="1"/>
  <c r="F28" i="270"/>
  <c r="P8" i="267"/>
  <c r="P20" i="267"/>
  <c r="P10" i="267"/>
  <c r="P64" i="267"/>
  <c r="M11" i="267"/>
  <c r="S6" i="267" s="1"/>
  <c r="P14" i="266"/>
  <c r="F42" i="266"/>
  <c r="P42" i="266" s="1"/>
  <c r="E20" i="266" a="1"/>
  <c r="E20" i="266" s="1"/>
  <c r="F28" i="266"/>
  <c r="M11" i="266"/>
  <c r="S6" i="266" s="1"/>
  <c r="E7" i="266" a="1"/>
  <c r="E7" i="266" s="1"/>
  <c r="E9" i="266"/>
  <c r="P9" i="266" s="1"/>
  <c r="E19" i="266" a="1"/>
  <c r="E19" i="266" s="1"/>
  <c r="L65" i="265"/>
  <c r="L66" i="265" s="1"/>
  <c r="L67" i="265" s="1"/>
  <c r="P67" i="265"/>
  <c r="F28" i="265"/>
  <c r="H66" i="265"/>
  <c r="S13" i="265" s="1"/>
  <c r="F42" i="265"/>
  <c r="P42" i="265" s="1"/>
  <c r="P67" i="269"/>
  <c r="I19" i="269"/>
  <c r="O19" i="269" s="1"/>
  <c r="S10" i="269"/>
  <c r="K14" i="269"/>
  <c r="S11" i="269"/>
  <c r="F28" i="269"/>
  <c r="F27" i="269"/>
  <c r="I66" i="269"/>
  <c r="F19" i="269"/>
  <c r="F21" i="269"/>
  <c r="F23" i="269"/>
  <c r="F25" i="269"/>
  <c r="P66" i="269" a="1"/>
  <c r="P66" i="269" s="1"/>
  <c r="P91" i="269" s="1"/>
  <c r="J7" i="269"/>
  <c r="E64" i="269"/>
  <c r="E2" i="269" s="1"/>
  <c r="F20" i="269"/>
  <c r="F22" i="269"/>
  <c r="F24" i="269"/>
  <c r="F26" i="269"/>
  <c r="N7" i="266"/>
  <c r="S12" i="266" s="1"/>
  <c r="P20" i="265"/>
  <c r="P10" i="265"/>
  <c r="F40" i="265"/>
  <c r="P40" i="265" s="1"/>
  <c r="P14" i="265"/>
  <c r="P19" i="265"/>
  <c r="A7" i="265"/>
  <c r="F43" i="265"/>
  <c r="P43" i="265" s="1"/>
  <c r="E7" i="265" a="1"/>
  <c r="E7" i="265" s="1"/>
  <c r="P7" i="265" s="1" a="1"/>
  <c r="P7" i="265" s="1"/>
  <c r="E19" i="265" a="1"/>
  <c r="E19" i="265" s="1"/>
  <c r="E20" i="265" a="1"/>
  <c r="E20" i="265" s="1"/>
  <c r="M11" i="265"/>
  <c r="S6" i="265" s="1"/>
  <c r="J67" i="266"/>
  <c r="J67" i="267"/>
  <c r="L67" i="267"/>
  <c r="S10" i="267"/>
  <c r="I19" i="267"/>
  <c r="O19" i="267" s="1"/>
  <c r="K14" i="267"/>
  <c r="S11" i="267"/>
  <c r="P67" i="267"/>
  <c r="E7" i="267" a="1"/>
  <c r="E7" i="267" s="1"/>
  <c r="P7" i="267" s="1" a="1"/>
  <c r="P7" i="267" s="1"/>
  <c r="F19" i="267"/>
  <c r="F21" i="267"/>
  <c r="F23" i="267"/>
  <c r="F25" i="267"/>
  <c r="H27" i="267"/>
  <c r="I27" i="267" s="1"/>
  <c r="O27" i="267" s="1"/>
  <c r="H66" i="267"/>
  <c r="A7" i="267"/>
  <c r="P66" i="267" a="1"/>
  <c r="P66" i="267" s="1"/>
  <c r="J7" i="267"/>
  <c r="N7" i="267"/>
  <c r="S12" i="267" s="1"/>
  <c r="P14" i="267"/>
  <c r="E64" i="267"/>
  <c r="F28" i="267"/>
  <c r="E9" i="267"/>
  <c r="P9" i="267" s="1"/>
  <c r="H20" i="267"/>
  <c r="I20" i="267" s="1"/>
  <c r="O20" i="267" s="1"/>
  <c r="H22" i="267"/>
  <c r="I22" i="267" s="1"/>
  <c r="O22" i="267" s="1"/>
  <c r="H24" i="267"/>
  <c r="I24" i="267" s="1"/>
  <c r="O24" i="267" s="1"/>
  <c r="H26" i="267"/>
  <c r="I26" i="267" s="1"/>
  <c r="O26" i="267" s="1"/>
  <c r="P64" i="266"/>
  <c r="P67" i="266" s="1"/>
  <c r="H66" i="266"/>
  <c r="S13" i="266" s="1"/>
  <c r="L67" i="266"/>
  <c r="N7" i="265"/>
  <c r="S12" i="265" s="1"/>
  <c r="A7" i="266"/>
  <c r="J7" i="266"/>
  <c r="K14" i="266"/>
  <c r="S11" i="266"/>
  <c r="S10" i="266"/>
  <c r="I19" i="266"/>
  <c r="O19" i="266" s="1"/>
  <c r="F27" i="266"/>
  <c r="I66" i="266"/>
  <c r="F19" i="266"/>
  <c r="F21" i="266"/>
  <c r="F23" i="266"/>
  <c r="F25" i="266"/>
  <c r="P66" i="266" a="1"/>
  <c r="P66" i="266" s="1"/>
  <c r="F20" i="266"/>
  <c r="F22" i="266"/>
  <c r="F24" i="266"/>
  <c r="F26" i="266"/>
  <c r="J67" i="265"/>
  <c r="S10" i="265"/>
  <c r="I19" i="265"/>
  <c r="O19" i="265" s="1"/>
  <c r="K14" i="265"/>
  <c r="S11" i="265"/>
  <c r="F27" i="265"/>
  <c r="F19" i="265"/>
  <c r="F21" i="265"/>
  <c r="F23" i="265"/>
  <c r="F25" i="265"/>
  <c r="J7" i="265"/>
  <c r="H20" i="265"/>
  <c r="I20" i="265" s="1"/>
  <c r="O20" i="265" s="1"/>
  <c r="H22" i="265"/>
  <c r="I22" i="265" s="1"/>
  <c r="O22" i="265" s="1"/>
  <c r="H24" i="265"/>
  <c r="I24" i="265" s="1"/>
  <c r="O24" i="265" s="1"/>
  <c r="H26" i="265"/>
  <c r="I26" i="265" s="1"/>
  <c r="O26" i="265" s="1"/>
  <c r="S7" i="275" l="1"/>
  <c r="P91" i="275"/>
  <c r="Z6" i="275" s="1"/>
  <c r="P2" i="275" s="1"/>
  <c r="P92" i="275" s="1"/>
  <c r="E2" i="275"/>
  <c r="W6" i="274"/>
  <c r="Z6" i="274"/>
  <c r="P2" i="274" s="1"/>
  <c r="P92" i="274" s="1"/>
  <c r="S7" i="274"/>
  <c r="E2" i="270"/>
  <c r="I66" i="270"/>
  <c r="S13" i="270"/>
  <c r="P91" i="273"/>
  <c r="Z6" i="273" s="1"/>
  <c r="P2" i="273" s="1"/>
  <c r="P92" i="273" s="1"/>
  <c r="E2" i="273"/>
  <c r="O74" i="273"/>
  <c r="O76" i="273"/>
  <c r="O75" i="273"/>
  <c r="O78" i="273"/>
  <c r="O73" i="273"/>
  <c r="O77" i="273"/>
  <c r="P91" i="272"/>
  <c r="W6" i="272" s="1"/>
  <c r="E2" i="272"/>
  <c r="O78" i="272"/>
  <c r="O74" i="272"/>
  <c r="O76" i="272"/>
  <c r="O73" i="272"/>
  <c r="O77" i="272"/>
  <c r="O75" i="272"/>
  <c r="I19" i="272"/>
  <c r="O19" i="272" s="1"/>
  <c r="S10" i="272"/>
  <c r="P91" i="271"/>
  <c r="Z6" i="271" s="1"/>
  <c r="P2" i="271" s="1"/>
  <c r="P92" i="271" s="1"/>
  <c r="E2" i="271"/>
  <c r="S7" i="271"/>
  <c r="P91" i="270"/>
  <c r="W6" i="270" s="1"/>
  <c r="P66" i="265" a="1"/>
  <c r="P66" i="265" s="1"/>
  <c r="P91" i="265" s="1"/>
  <c r="W6" i="265" s="1"/>
  <c r="I66" i="265"/>
  <c r="O74" i="265" s="1"/>
  <c r="E2" i="266"/>
  <c r="P7" i="266" a="1"/>
  <c r="P7" i="266" s="1"/>
  <c r="P91" i="266" s="1"/>
  <c r="W6" i="266" s="1"/>
  <c r="W6" i="269"/>
  <c r="Z6" i="269"/>
  <c r="P2" i="269" s="1"/>
  <c r="P92" i="269" s="1"/>
  <c r="O75" i="269"/>
  <c r="O74" i="269"/>
  <c r="O76" i="269"/>
  <c r="O73" i="269"/>
  <c r="E2" i="265"/>
  <c r="P91" i="267"/>
  <c r="W6" i="267" s="1"/>
  <c r="E2" i="267"/>
  <c r="S13" i="267"/>
  <c r="I66" i="267"/>
  <c r="O74" i="266"/>
  <c r="O75" i="266"/>
  <c r="O73" i="266"/>
  <c r="O75" i="265"/>
  <c r="O73" i="265"/>
  <c r="W6" i="275" l="1"/>
  <c r="O76" i="270"/>
  <c r="O75" i="270"/>
  <c r="O73" i="270"/>
  <c r="O74" i="270"/>
  <c r="S7" i="273"/>
  <c r="W6" i="273"/>
  <c r="Z6" i="272"/>
  <c r="P2" i="272" s="1"/>
  <c r="P92" i="272" s="1"/>
  <c r="S7" i="272"/>
  <c r="W6" i="271"/>
  <c r="Z6" i="270"/>
  <c r="P2" i="270" s="1"/>
  <c r="P92" i="270" s="1"/>
  <c r="S7" i="266"/>
  <c r="S7" i="269"/>
  <c r="Z6" i="265"/>
  <c r="P2" i="265" s="1"/>
  <c r="P92" i="265" s="1"/>
  <c r="Z6" i="267"/>
  <c r="P2" i="267" s="1"/>
  <c r="P92" i="267" s="1"/>
  <c r="O75" i="267"/>
  <c r="O74" i="267"/>
  <c r="O73" i="267"/>
  <c r="Z6" i="266"/>
  <c r="P2" i="266" s="1"/>
  <c r="P92" i="266" s="1"/>
  <c r="S7" i="265"/>
  <c r="S7" i="270" l="1"/>
  <c r="S7" i="267"/>
  <c r="P90" i="264" l="1"/>
  <c r="O90" i="264"/>
  <c r="K90" i="264"/>
  <c r="I90" i="264"/>
  <c r="G90" i="264"/>
  <c r="P89" i="264"/>
  <c r="O89" i="264"/>
  <c r="K89" i="264"/>
  <c r="I89" i="264"/>
  <c r="G89" i="264"/>
  <c r="P88" i="264"/>
  <c r="O88" i="264"/>
  <c r="K88" i="264"/>
  <c r="I88" i="264"/>
  <c r="G88" i="264"/>
  <c r="P87" i="264"/>
  <c r="O87" i="264"/>
  <c r="K87" i="264"/>
  <c r="I87" i="264"/>
  <c r="G87" i="264"/>
  <c r="P86" i="264"/>
  <c r="O86" i="264"/>
  <c r="K86" i="264"/>
  <c r="I86" i="264"/>
  <c r="G86" i="264"/>
  <c r="P85" i="264"/>
  <c r="O85" i="264"/>
  <c r="K85" i="264"/>
  <c r="I85" i="264"/>
  <c r="G85" i="264"/>
  <c r="P84" i="264"/>
  <c r="O84" i="264"/>
  <c r="K84" i="264"/>
  <c r="I84" i="264"/>
  <c r="G84" i="264"/>
  <c r="P83" i="264"/>
  <c r="O83" i="264"/>
  <c r="K83" i="264"/>
  <c r="I83" i="264"/>
  <c r="G83" i="264"/>
  <c r="P82" i="264"/>
  <c r="O82" i="264"/>
  <c r="K82" i="264"/>
  <c r="I82" i="264"/>
  <c r="G82" i="264"/>
  <c r="P81" i="264"/>
  <c r="O81" i="264"/>
  <c r="K81" i="264"/>
  <c r="I81" i="264"/>
  <c r="G81" i="264"/>
  <c r="P80" i="264"/>
  <c r="O80" i="264"/>
  <c r="K80" i="264"/>
  <c r="I80" i="264"/>
  <c r="G80" i="264"/>
  <c r="P79" i="264"/>
  <c r="O79" i="264"/>
  <c r="K79" i="264"/>
  <c r="I79" i="264"/>
  <c r="G79" i="264"/>
  <c r="P78" i="264"/>
  <c r="O78" i="264"/>
  <c r="K78" i="264"/>
  <c r="I78" i="264"/>
  <c r="G78" i="264"/>
  <c r="P77" i="264"/>
  <c r="O77" i="264"/>
  <c r="K77" i="264"/>
  <c r="I77" i="264"/>
  <c r="G77" i="264"/>
  <c r="P76" i="264"/>
  <c r="O76" i="264"/>
  <c r="K76" i="264"/>
  <c r="I76" i="264"/>
  <c r="G76" i="264"/>
  <c r="P75" i="264"/>
  <c r="O75" i="264"/>
  <c r="K75" i="264"/>
  <c r="I75" i="264"/>
  <c r="G75" i="264"/>
  <c r="P74" i="264"/>
  <c r="K74" i="264"/>
  <c r="I74" i="264"/>
  <c r="G74" i="264"/>
  <c r="P73" i="264"/>
  <c r="K73" i="264"/>
  <c r="I73" i="264"/>
  <c r="G73" i="264"/>
  <c r="P71" i="264"/>
  <c r="O71" i="264"/>
  <c r="K71" i="264"/>
  <c r="G71" i="264"/>
  <c r="P70" i="264"/>
  <c r="O70" i="264"/>
  <c r="N70" i="264"/>
  <c r="K70" i="264"/>
  <c r="G70" i="264"/>
  <c r="P69" i="264"/>
  <c r="O69" i="264"/>
  <c r="N69" i="264"/>
  <c r="K69" i="264"/>
  <c r="G69" i="264"/>
  <c r="N67" i="264"/>
  <c r="F66" i="264" a="1"/>
  <c r="F66" i="264" s="1"/>
  <c r="P65" i="264"/>
  <c r="L65" i="264"/>
  <c r="L66" i="264" s="1"/>
  <c r="K65" i="264"/>
  <c r="E65" i="264"/>
  <c r="O64" i="264"/>
  <c r="M64" i="264"/>
  <c r="L64" i="264"/>
  <c r="P64" i="264" s="1"/>
  <c r="K64" i="264"/>
  <c r="J64" i="264"/>
  <c r="H64" i="264"/>
  <c r="I64" i="264" s="1"/>
  <c r="E64" i="264"/>
  <c r="E57" i="264"/>
  <c r="P57" i="264" s="1"/>
  <c r="O56" i="264"/>
  <c r="N56" i="264"/>
  <c r="L56" i="264"/>
  <c r="K56" i="264"/>
  <c r="H56" i="264"/>
  <c r="F56" i="264"/>
  <c r="P56" i="264" s="1"/>
  <c r="E56" i="264"/>
  <c r="O55" i="264"/>
  <c r="N55" i="264"/>
  <c r="L55" i="264"/>
  <c r="K55" i="264"/>
  <c r="H55" i="264"/>
  <c r="F55" i="264"/>
  <c r="P55" i="264" s="1"/>
  <c r="E55" i="264"/>
  <c r="O54" i="264"/>
  <c r="N54" i="264"/>
  <c r="L54" i="264"/>
  <c r="K54" i="264"/>
  <c r="H54" i="264"/>
  <c r="F54" i="264"/>
  <c r="P54" i="264" s="1"/>
  <c r="E54" i="264"/>
  <c r="O53" i="264"/>
  <c r="N53" i="264"/>
  <c r="L53" i="264"/>
  <c r="K53" i="264"/>
  <c r="H53" i="264"/>
  <c r="F53" i="264"/>
  <c r="P53" i="264" s="1"/>
  <c r="E53" i="264"/>
  <c r="P52" i="264"/>
  <c r="O52" i="264"/>
  <c r="N52" i="264"/>
  <c r="L52" i="264"/>
  <c r="K52" i="264"/>
  <c r="H52" i="264"/>
  <c r="F52" i="264"/>
  <c r="E52" i="264"/>
  <c r="O51" i="264"/>
  <c r="N51" i="264"/>
  <c r="L51" i="264"/>
  <c r="K51" i="264"/>
  <c r="H51" i="264"/>
  <c r="F51" i="264"/>
  <c r="P51" i="264" s="1"/>
  <c r="E51" i="264"/>
  <c r="O50" i="264"/>
  <c r="N50" i="264"/>
  <c r="L50" i="264"/>
  <c r="K50" i="264"/>
  <c r="H50" i="264"/>
  <c r="F50" i="264"/>
  <c r="P50" i="264" s="1"/>
  <c r="E50" i="264"/>
  <c r="O49" i="264"/>
  <c r="N49" i="264"/>
  <c r="L49" i="264"/>
  <c r="K49" i="264"/>
  <c r="H49" i="264"/>
  <c r="F49" i="264"/>
  <c r="P49" i="264" s="1"/>
  <c r="E49" i="264"/>
  <c r="O48" i="264"/>
  <c r="N48" i="264"/>
  <c r="L48" i="264"/>
  <c r="K48" i="264"/>
  <c r="H48" i="264"/>
  <c r="F48" i="264"/>
  <c r="P48" i="264" s="1"/>
  <c r="E48" i="264"/>
  <c r="O47" i="264"/>
  <c r="N47" i="264"/>
  <c r="L47" i="264"/>
  <c r="K47" i="264"/>
  <c r="H47" i="264"/>
  <c r="F47" i="264"/>
  <c r="P47" i="264" s="1"/>
  <c r="E47" i="264"/>
  <c r="P46" i="264"/>
  <c r="O46" i="264"/>
  <c r="N46" i="264"/>
  <c r="L46" i="264"/>
  <c r="K46" i="264"/>
  <c r="H46" i="264"/>
  <c r="F46" i="264"/>
  <c r="E46" i="264"/>
  <c r="O45" i="264"/>
  <c r="N45" i="264"/>
  <c r="L45" i="264"/>
  <c r="K45" i="264"/>
  <c r="H45" i="264"/>
  <c r="F45" i="264"/>
  <c r="P45" i="264" s="1"/>
  <c r="E45" i="264"/>
  <c r="O44" i="264"/>
  <c r="N44" i="264"/>
  <c r="L44" i="264"/>
  <c r="K44" i="264"/>
  <c r="H44" i="264"/>
  <c r="F44" i="264"/>
  <c r="P44" i="264" s="1"/>
  <c r="E44" i="264"/>
  <c r="P43" i="264"/>
  <c r="O43" i="264"/>
  <c r="N43" i="264"/>
  <c r="L43" i="264"/>
  <c r="K43" i="264"/>
  <c r="H43" i="264"/>
  <c r="F43" i="264"/>
  <c r="E43" i="264"/>
  <c r="O42" i="264"/>
  <c r="N42" i="264"/>
  <c r="L42" i="264"/>
  <c r="K42" i="264"/>
  <c r="H42" i="264"/>
  <c r="F42" i="264"/>
  <c r="P42" i="264" s="1"/>
  <c r="E42" i="264"/>
  <c r="O41" i="264"/>
  <c r="N41" i="264"/>
  <c r="L41" i="264"/>
  <c r="K41" i="264"/>
  <c r="H41" i="264"/>
  <c r="E41" i="264"/>
  <c r="P40" i="264"/>
  <c r="O40" i="264"/>
  <c r="N40" i="264"/>
  <c r="L40" i="264"/>
  <c r="K40" i="264"/>
  <c r="H40" i="264"/>
  <c r="F40" i="264"/>
  <c r="E40" i="264"/>
  <c r="O39" i="264"/>
  <c r="N39" i="264"/>
  <c r="L39" i="264"/>
  <c r="K39" i="264"/>
  <c r="H39" i="264"/>
  <c r="F39" i="264"/>
  <c r="P39" i="264" s="1"/>
  <c r="E39" i="264"/>
  <c r="O38" i="264"/>
  <c r="N38" i="264"/>
  <c r="L38" i="264"/>
  <c r="K38" i="264"/>
  <c r="H38" i="264"/>
  <c r="F38" i="264"/>
  <c r="P38" i="264" s="1"/>
  <c r="E38" i="264"/>
  <c r="O37" i="264"/>
  <c r="N37" i="264"/>
  <c r="L37" i="264"/>
  <c r="K37" i="264"/>
  <c r="H37" i="264"/>
  <c r="F37" i="264"/>
  <c r="P37" i="264" s="1"/>
  <c r="E37" i="264"/>
  <c r="O36" i="264"/>
  <c r="N36" i="264"/>
  <c r="L36" i="264"/>
  <c r="K36" i="264"/>
  <c r="H36" i="264"/>
  <c r="F36" i="264"/>
  <c r="P36" i="264" s="1"/>
  <c r="E36" i="264"/>
  <c r="O34" i="264"/>
  <c r="N34" i="264"/>
  <c r="K34" i="264"/>
  <c r="H34" i="264"/>
  <c r="F34" i="264"/>
  <c r="P34" i="264" s="1"/>
  <c r="E34" i="264"/>
  <c r="P33" i="264"/>
  <c r="O33" i="264"/>
  <c r="N33" i="264"/>
  <c r="K33" i="264"/>
  <c r="H33" i="264"/>
  <c r="F33" i="264"/>
  <c r="E33" i="264"/>
  <c r="O32" i="264"/>
  <c r="N32" i="264"/>
  <c r="K32" i="264"/>
  <c r="H32" i="264"/>
  <c r="F32" i="264"/>
  <c r="P32" i="264" s="1"/>
  <c r="E32" i="264"/>
  <c r="O31" i="264"/>
  <c r="N31" i="264"/>
  <c r="K31" i="264"/>
  <c r="H31" i="264"/>
  <c r="F31" i="264"/>
  <c r="P31" i="264" s="1"/>
  <c r="E31" i="264"/>
  <c r="O30" i="264"/>
  <c r="N30" i="264"/>
  <c r="K30" i="264"/>
  <c r="H30" i="264"/>
  <c r="F30" i="264"/>
  <c r="P30" i="264" s="1"/>
  <c r="E30" i="264"/>
  <c r="P28" i="264"/>
  <c r="J28" i="264"/>
  <c r="D28" i="264"/>
  <c r="L28" i="264" s="1"/>
  <c r="M28" i="264" s="1"/>
  <c r="C28" i="264"/>
  <c r="F28" i="264" s="1"/>
  <c r="A28" i="264"/>
  <c r="P27" i="264"/>
  <c r="J27" i="264"/>
  <c r="D27" i="264"/>
  <c r="L27" i="264" s="1"/>
  <c r="M27" i="264" s="1"/>
  <c r="C27" i="264"/>
  <c r="F27" i="264" s="1"/>
  <c r="A27" i="264"/>
  <c r="P26" i="264"/>
  <c r="J26" i="264"/>
  <c r="E26" i="264" a="1"/>
  <c r="E26" i="264" s="1"/>
  <c r="D26" i="264"/>
  <c r="L26" i="264" s="1"/>
  <c r="M26" i="264" s="1"/>
  <c r="C26" i="264"/>
  <c r="H26" i="264" s="1"/>
  <c r="I26" i="264" s="1"/>
  <c r="O26" i="264" s="1"/>
  <c r="P25" i="264"/>
  <c r="J25" i="264"/>
  <c r="E25" i="264" a="1"/>
  <c r="E25" i="264" s="1"/>
  <c r="D25" i="264"/>
  <c r="L25" i="264" s="1"/>
  <c r="M25" i="264" s="1"/>
  <c r="C25" i="264"/>
  <c r="H25" i="264" s="1"/>
  <c r="I25" i="264" s="1"/>
  <c r="O25" i="264" s="1"/>
  <c r="P24" i="264"/>
  <c r="J24" i="264"/>
  <c r="E24" i="264" a="1"/>
  <c r="E24" i="264" s="1"/>
  <c r="D24" i="264"/>
  <c r="L24" i="264" s="1"/>
  <c r="M24" i="264" s="1"/>
  <c r="C24" i="264"/>
  <c r="F24" i="264" s="1"/>
  <c r="P23" i="264"/>
  <c r="J23" i="264"/>
  <c r="E23" i="264" a="1"/>
  <c r="E23" i="264" s="1"/>
  <c r="D23" i="264"/>
  <c r="L23" i="264" s="1"/>
  <c r="M23" i="264" s="1"/>
  <c r="C23" i="264"/>
  <c r="H23" i="264" s="1"/>
  <c r="I23" i="264" s="1"/>
  <c r="O23" i="264" s="1"/>
  <c r="P22" i="264"/>
  <c r="J22" i="264"/>
  <c r="E22" i="264" a="1"/>
  <c r="E22" i="264" s="1"/>
  <c r="D22" i="264"/>
  <c r="L22" i="264" s="1"/>
  <c r="M22" i="264" s="1"/>
  <c r="C22" i="264"/>
  <c r="F22" i="264" s="1"/>
  <c r="P21" i="264"/>
  <c r="J21" i="264"/>
  <c r="E21" i="264" a="1"/>
  <c r="E21" i="264" s="1"/>
  <c r="D21" i="264"/>
  <c r="L21" i="264" s="1"/>
  <c r="M21" i="264" s="1"/>
  <c r="C21" i="264"/>
  <c r="H21" i="264" s="1"/>
  <c r="I21" i="264" s="1"/>
  <c r="O21" i="264" s="1"/>
  <c r="J20" i="264"/>
  <c r="D20" i="264"/>
  <c r="L20" i="264" s="1"/>
  <c r="M20" i="264" s="1"/>
  <c r="C20" i="264"/>
  <c r="F20" i="264" s="1"/>
  <c r="J19" i="264"/>
  <c r="E19" i="264" a="1"/>
  <c r="E19" i="264" s="1"/>
  <c r="D19" i="264"/>
  <c r="L19" i="264" s="1"/>
  <c r="M19" i="264" s="1"/>
  <c r="C19" i="264"/>
  <c r="H19" i="264" s="1"/>
  <c r="N17" i="264"/>
  <c r="E17" i="264"/>
  <c r="P17" i="264" s="1"/>
  <c r="P16" i="264"/>
  <c r="N16" i="264"/>
  <c r="E16" i="264"/>
  <c r="S14" i="264"/>
  <c r="N15" i="264"/>
  <c r="J15" i="264"/>
  <c r="J16" i="264" s="1"/>
  <c r="E15" i="264"/>
  <c r="P15" i="264" s="1"/>
  <c r="P13" i="264"/>
  <c r="O13" i="264"/>
  <c r="P11" i="264"/>
  <c r="J11" i="264"/>
  <c r="S9" i="264"/>
  <c r="J10" i="264"/>
  <c r="E10" i="264"/>
  <c r="O9" i="264"/>
  <c r="E9" i="264"/>
  <c r="P9" i="264" s="1"/>
  <c r="J8" i="264"/>
  <c r="J9" i="264" s="1"/>
  <c r="L7" i="264"/>
  <c r="F7" i="264"/>
  <c r="X6" i="264"/>
  <c r="O92" i="264" s="1"/>
  <c r="V6" i="264"/>
  <c r="T6" i="264"/>
  <c r="R6" i="264"/>
  <c r="P5" i="264"/>
  <c r="P10" i="264" s="1"/>
  <c r="N5" i="264"/>
  <c r="M5" i="264"/>
  <c r="K5" i="264"/>
  <c r="J5" i="264"/>
  <c r="J13" i="264" s="1"/>
  <c r="J14" i="264" s="1"/>
  <c r="U6" i="264" s="1"/>
  <c r="E5" i="264"/>
  <c r="N4" i="264"/>
  <c r="M4" i="264"/>
  <c r="J4" i="264"/>
  <c r="F4" i="264"/>
  <c r="E4" i="264"/>
  <c r="E20" i="264" s="1" a="1"/>
  <c r="E20" i="264" s="1"/>
  <c r="F56" i="263"/>
  <c r="P90" i="263"/>
  <c r="O90" i="263"/>
  <c r="K90" i="263"/>
  <c r="I90" i="263"/>
  <c r="G90" i="263"/>
  <c r="P89" i="263"/>
  <c r="O89" i="263"/>
  <c r="K89" i="263"/>
  <c r="I89" i="263"/>
  <c r="G89" i="263"/>
  <c r="P88" i="263"/>
  <c r="O88" i="263"/>
  <c r="K88" i="263"/>
  <c r="I88" i="263"/>
  <c r="G88" i="263"/>
  <c r="P87" i="263"/>
  <c r="O87" i="263"/>
  <c r="K87" i="263"/>
  <c r="I87" i="263"/>
  <c r="G87" i="263"/>
  <c r="P86" i="263"/>
  <c r="O86" i="263"/>
  <c r="K86" i="263"/>
  <c r="I86" i="263"/>
  <c r="G86" i="263"/>
  <c r="P85" i="263"/>
  <c r="O85" i="263"/>
  <c r="K85" i="263"/>
  <c r="I85" i="263"/>
  <c r="G85" i="263"/>
  <c r="P84" i="263"/>
  <c r="O84" i="263"/>
  <c r="K84" i="263"/>
  <c r="I84" i="263"/>
  <c r="G84" i="263"/>
  <c r="P83" i="263"/>
  <c r="O83" i="263"/>
  <c r="K83" i="263"/>
  <c r="I83" i="263"/>
  <c r="G83" i="263"/>
  <c r="P82" i="263"/>
  <c r="O82" i="263"/>
  <c r="K82" i="263"/>
  <c r="I82" i="263"/>
  <c r="G82" i="263"/>
  <c r="P81" i="263"/>
  <c r="O81" i="263"/>
  <c r="K81" i="263"/>
  <c r="I81" i="263"/>
  <c r="G81" i="263"/>
  <c r="P80" i="263"/>
  <c r="O80" i="263"/>
  <c r="K80" i="263"/>
  <c r="I80" i="263"/>
  <c r="G80" i="263"/>
  <c r="P79" i="263"/>
  <c r="O79" i="263"/>
  <c r="K79" i="263"/>
  <c r="I79" i="263"/>
  <c r="G79" i="263"/>
  <c r="P78" i="263"/>
  <c r="O78" i="263"/>
  <c r="K78" i="263"/>
  <c r="I78" i="263"/>
  <c r="G78" i="263"/>
  <c r="P77" i="263"/>
  <c r="O77" i="263"/>
  <c r="K77" i="263"/>
  <c r="I77" i="263"/>
  <c r="G77" i="263"/>
  <c r="P76" i="263"/>
  <c r="O76" i="263"/>
  <c r="K76" i="263"/>
  <c r="I76" i="263"/>
  <c r="G76" i="263"/>
  <c r="P75" i="263"/>
  <c r="O75" i="263"/>
  <c r="K75" i="263"/>
  <c r="I75" i="263"/>
  <c r="G75" i="263"/>
  <c r="P74" i="263"/>
  <c r="K74" i="263"/>
  <c r="I74" i="263"/>
  <c r="G74" i="263"/>
  <c r="P73" i="263"/>
  <c r="K73" i="263"/>
  <c r="I73" i="263"/>
  <c r="G73" i="263"/>
  <c r="P71" i="263"/>
  <c r="O71" i="263"/>
  <c r="K71" i="263"/>
  <c r="G71" i="263"/>
  <c r="P70" i="263"/>
  <c r="O70" i="263"/>
  <c r="N70" i="263"/>
  <c r="K70" i="263"/>
  <c r="G70" i="263"/>
  <c r="P69" i="263"/>
  <c r="O69" i="263"/>
  <c r="N69" i="263"/>
  <c r="K69" i="263"/>
  <c r="G69" i="263"/>
  <c r="N67" i="263"/>
  <c r="H66" i="263"/>
  <c r="I66" i="263" s="1"/>
  <c r="O74" i="263" s="1"/>
  <c r="F66" i="263" a="1"/>
  <c r="F66" i="263" s="1"/>
  <c r="P65" i="263"/>
  <c r="L65" i="263"/>
  <c r="K65" i="263"/>
  <c r="E65" i="263"/>
  <c r="O64" i="263"/>
  <c r="M64" i="263"/>
  <c r="L64" i="263"/>
  <c r="E64" i="263" s="1"/>
  <c r="K64" i="263"/>
  <c r="J64" i="263"/>
  <c r="H64" i="263"/>
  <c r="I64" i="263" s="1"/>
  <c r="E57" i="263"/>
  <c r="P57" i="263" s="1"/>
  <c r="O56" i="263"/>
  <c r="N56" i="263"/>
  <c r="L56" i="263"/>
  <c r="K56" i="263"/>
  <c r="H56" i="263"/>
  <c r="P56" i="263"/>
  <c r="E56" i="263"/>
  <c r="O55" i="263"/>
  <c r="N55" i="263"/>
  <c r="L55" i="263"/>
  <c r="K55" i="263"/>
  <c r="H55" i="263"/>
  <c r="F55" i="263"/>
  <c r="P55" i="263" s="1"/>
  <c r="E55" i="263"/>
  <c r="O54" i="263"/>
  <c r="N54" i="263"/>
  <c r="L54" i="263"/>
  <c r="K54" i="263"/>
  <c r="H54" i="263"/>
  <c r="F54" i="263"/>
  <c r="P54" i="263" s="1"/>
  <c r="E54" i="263"/>
  <c r="O53" i="263"/>
  <c r="N53" i="263"/>
  <c r="L53" i="263"/>
  <c r="K53" i="263"/>
  <c r="H53" i="263"/>
  <c r="F53" i="263"/>
  <c r="P53" i="263" s="1"/>
  <c r="E53" i="263"/>
  <c r="P52" i="263"/>
  <c r="O52" i="263"/>
  <c r="N52" i="263"/>
  <c r="L52" i="263"/>
  <c r="K52" i="263"/>
  <c r="H52" i="263"/>
  <c r="F52" i="263"/>
  <c r="E52" i="263"/>
  <c r="O51" i="263"/>
  <c r="N51" i="263"/>
  <c r="L51" i="263"/>
  <c r="K51" i="263"/>
  <c r="H51" i="263"/>
  <c r="F51" i="263"/>
  <c r="P51" i="263" s="1"/>
  <c r="E51" i="263"/>
  <c r="O50" i="263"/>
  <c r="N50" i="263"/>
  <c r="L50" i="263"/>
  <c r="K50" i="263"/>
  <c r="H50" i="263"/>
  <c r="F50" i="263"/>
  <c r="P50" i="263" s="1"/>
  <c r="E50" i="263"/>
  <c r="P49" i="263"/>
  <c r="O49" i="263"/>
  <c r="N49" i="263"/>
  <c r="L49" i="263"/>
  <c r="K49" i="263"/>
  <c r="H49" i="263"/>
  <c r="F49" i="263"/>
  <c r="E49" i="263"/>
  <c r="O48" i="263"/>
  <c r="N48" i="263"/>
  <c r="L48" i="263"/>
  <c r="K48" i="263"/>
  <c r="H48" i="263"/>
  <c r="F48" i="263"/>
  <c r="P48" i="263" s="1"/>
  <c r="E48" i="263"/>
  <c r="O47" i="263"/>
  <c r="N47" i="263"/>
  <c r="L47" i="263"/>
  <c r="K47" i="263"/>
  <c r="H47" i="263"/>
  <c r="F47" i="263"/>
  <c r="P47" i="263" s="1"/>
  <c r="E47" i="263"/>
  <c r="P46" i="263"/>
  <c r="O46" i="263"/>
  <c r="N46" i="263"/>
  <c r="L46" i="263"/>
  <c r="K46" i="263"/>
  <c r="H46" i="263"/>
  <c r="F46" i="263"/>
  <c r="E46" i="263"/>
  <c r="O45" i="263"/>
  <c r="N45" i="263"/>
  <c r="L45" i="263"/>
  <c r="K45" i="263"/>
  <c r="H45" i="263"/>
  <c r="F45" i="263"/>
  <c r="P45" i="263" s="1"/>
  <c r="E45" i="263"/>
  <c r="O44" i="263"/>
  <c r="N44" i="263"/>
  <c r="L44" i="263"/>
  <c r="K44" i="263"/>
  <c r="H44" i="263"/>
  <c r="F44" i="263"/>
  <c r="P44" i="263" s="1"/>
  <c r="E44" i="263"/>
  <c r="O43" i="263"/>
  <c r="N43" i="263"/>
  <c r="L43" i="263"/>
  <c r="K43" i="263"/>
  <c r="H43" i="263"/>
  <c r="F43" i="263"/>
  <c r="P43" i="263" s="1"/>
  <c r="E43" i="263"/>
  <c r="O42" i="263"/>
  <c r="N42" i="263"/>
  <c r="L42" i="263"/>
  <c r="K42" i="263"/>
  <c r="H42" i="263"/>
  <c r="F42" i="263"/>
  <c r="P42" i="263" s="1"/>
  <c r="E42" i="263"/>
  <c r="O41" i="263"/>
  <c r="N41" i="263"/>
  <c r="L41" i="263"/>
  <c r="K41" i="263"/>
  <c r="H41" i="263"/>
  <c r="E41" i="263"/>
  <c r="O40" i="263"/>
  <c r="N40" i="263"/>
  <c r="L40" i="263"/>
  <c r="K40" i="263"/>
  <c r="H40" i="263"/>
  <c r="F40" i="263"/>
  <c r="P40" i="263" s="1"/>
  <c r="E40" i="263"/>
  <c r="O39" i="263"/>
  <c r="N39" i="263"/>
  <c r="L39" i="263"/>
  <c r="K39" i="263"/>
  <c r="H39" i="263"/>
  <c r="F39" i="263"/>
  <c r="P39" i="263" s="1"/>
  <c r="E39" i="263"/>
  <c r="O38" i="263"/>
  <c r="N38" i="263"/>
  <c r="L38" i="263"/>
  <c r="K38" i="263"/>
  <c r="H38" i="263"/>
  <c r="F38" i="263"/>
  <c r="P38" i="263" s="1"/>
  <c r="E38" i="263"/>
  <c r="O37" i="263"/>
  <c r="N37" i="263"/>
  <c r="L37" i="263"/>
  <c r="K37" i="263"/>
  <c r="H37" i="263"/>
  <c r="F37" i="263"/>
  <c r="P37" i="263" s="1"/>
  <c r="E37" i="263"/>
  <c r="O36" i="263"/>
  <c r="N36" i="263"/>
  <c r="L36" i="263"/>
  <c r="K36" i="263"/>
  <c r="H36" i="263"/>
  <c r="F36" i="263"/>
  <c r="P36" i="263" s="1"/>
  <c r="E36" i="263"/>
  <c r="O34" i="263"/>
  <c r="N34" i="263"/>
  <c r="K34" i="263"/>
  <c r="H34" i="263"/>
  <c r="F34" i="263"/>
  <c r="P34" i="263" s="1"/>
  <c r="E34" i="263"/>
  <c r="P33" i="263"/>
  <c r="O33" i="263"/>
  <c r="N33" i="263"/>
  <c r="K33" i="263"/>
  <c r="H33" i="263"/>
  <c r="F33" i="263"/>
  <c r="E33" i="263"/>
  <c r="O32" i="263"/>
  <c r="N32" i="263"/>
  <c r="K32" i="263"/>
  <c r="H32" i="263"/>
  <c r="F32" i="263"/>
  <c r="P32" i="263" s="1"/>
  <c r="E32" i="263"/>
  <c r="P31" i="263"/>
  <c r="O31" i="263"/>
  <c r="N31" i="263"/>
  <c r="K31" i="263"/>
  <c r="H31" i="263"/>
  <c r="F31" i="263"/>
  <c r="E31" i="263"/>
  <c r="O30" i="263"/>
  <c r="N30" i="263"/>
  <c r="K30" i="263"/>
  <c r="H30" i="263"/>
  <c r="F30" i="263"/>
  <c r="P30" i="263" s="1"/>
  <c r="E30" i="263"/>
  <c r="P28" i="263"/>
  <c r="J28" i="263"/>
  <c r="D28" i="263"/>
  <c r="L28" i="263" s="1"/>
  <c r="M28" i="263" s="1"/>
  <c r="C28" i="263"/>
  <c r="H28" i="263" s="1"/>
  <c r="I28" i="263" s="1"/>
  <c r="O28" i="263" s="1"/>
  <c r="A28" i="263"/>
  <c r="P27" i="263"/>
  <c r="J27" i="263"/>
  <c r="D27" i="263"/>
  <c r="L27" i="263" s="1"/>
  <c r="M27" i="263" s="1"/>
  <c r="C27" i="263"/>
  <c r="F27" i="263" s="1"/>
  <c r="A27" i="263"/>
  <c r="P26" i="263"/>
  <c r="J26" i="263"/>
  <c r="E26" i="263" a="1"/>
  <c r="E26" i="263" s="1"/>
  <c r="D26" i="263"/>
  <c r="L26" i="263" s="1"/>
  <c r="M26" i="263" s="1"/>
  <c r="C26" i="263"/>
  <c r="H26" i="263" s="1"/>
  <c r="I26" i="263" s="1"/>
  <c r="O26" i="263" s="1"/>
  <c r="P25" i="263"/>
  <c r="J25" i="263"/>
  <c r="E25" i="263" a="1"/>
  <c r="E25" i="263" s="1"/>
  <c r="D25" i="263"/>
  <c r="L25" i="263" s="1"/>
  <c r="M25" i="263" s="1"/>
  <c r="C25" i="263"/>
  <c r="H25" i="263" s="1"/>
  <c r="I25" i="263" s="1"/>
  <c r="O25" i="263" s="1"/>
  <c r="P24" i="263"/>
  <c r="J24" i="263"/>
  <c r="E24" i="263" a="1"/>
  <c r="E24" i="263" s="1"/>
  <c r="D24" i="263"/>
  <c r="L24" i="263" s="1"/>
  <c r="M24" i="263" s="1"/>
  <c r="C24" i="263"/>
  <c r="H24" i="263" s="1"/>
  <c r="I24" i="263" s="1"/>
  <c r="O24" i="263" s="1"/>
  <c r="P23" i="263"/>
  <c r="J23" i="263"/>
  <c r="E23" i="263" a="1"/>
  <c r="E23" i="263" s="1"/>
  <c r="D23" i="263"/>
  <c r="L23" i="263" s="1"/>
  <c r="M23" i="263" s="1"/>
  <c r="C23" i="263"/>
  <c r="H23" i="263" s="1"/>
  <c r="I23" i="263" s="1"/>
  <c r="O23" i="263" s="1"/>
  <c r="P22" i="263"/>
  <c r="J22" i="263"/>
  <c r="E22" i="263" a="1"/>
  <c r="E22" i="263" s="1"/>
  <c r="D22" i="263"/>
  <c r="L22" i="263" s="1"/>
  <c r="M22" i="263" s="1"/>
  <c r="C22" i="263"/>
  <c r="H22" i="263" s="1"/>
  <c r="I22" i="263" s="1"/>
  <c r="O22" i="263" s="1"/>
  <c r="P21" i="263"/>
  <c r="J21" i="263"/>
  <c r="E21" i="263" a="1"/>
  <c r="E21" i="263" s="1"/>
  <c r="D21" i="263"/>
  <c r="L21" i="263" s="1"/>
  <c r="M21" i="263" s="1"/>
  <c r="C21" i="263"/>
  <c r="H21" i="263" s="1"/>
  <c r="I21" i="263" s="1"/>
  <c r="O21" i="263" s="1"/>
  <c r="J20" i="263"/>
  <c r="D20" i="263"/>
  <c r="L20" i="263" s="1"/>
  <c r="M20" i="263" s="1"/>
  <c r="C20" i="263"/>
  <c r="H20" i="263" s="1"/>
  <c r="I20" i="263" s="1"/>
  <c r="O20" i="263" s="1"/>
  <c r="P19" i="263"/>
  <c r="J19" i="263"/>
  <c r="E19" i="263" a="1"/>
  <c r="E19" i="263" s="1"/>
  <c r="D19" i="263"/>
  <c r="L19" i="263" s="1"/>
  <c r="M19" i="263" s="1"/>
  <c r="O73" i="263" s="1"/>
  <c r="C19" i="263"/>
  <c r="H19" i="263" s="1"/>
  <c r="N17" i="263"/>
  <c r="E17" i="263"/>
  <c r="P17" i="263" s="1"/>
  <c r="P16" i="263"/>
  <c r="N16" i="263"/>
  <c r="E16" i="263"/>
  <c r="S14" i="263"/>
  <c r="N15" i="263"/>
  <c r="J15" i="263"/>
  <c r="J16" i="263" s="1"/>
  <c r="E15" i="263"/>
  <c r="P15" i="263" s="1"/>
  <c r="P14" i="263"/>
  <c r="P13" i="263"/>
  <c r="O13" i="263"/>
  <c r="P11" i="263"/>
  <c r="J11" i="263"/>
  <c r="S9" i="263"/>
  <c r="J10" i="263"/>
  <c r="E10" i="263"/>
  <c r="O9" i="263"/>
  <c r="E9" i="263"/>
  <c r="P9" i="263" s="1"/>
  <c r="P8" i="263"/>
  <c r="J8" i="263"/>
  <c r="J9" i="263" s="1"/>
  <c r="L7" i="263"/>
  <c r="F7" i="263"/>
  <c r="X6" i="263"/>
  <c r="O92" i="263" s="1"/>
  <c r="V6" i="263"/>
  <c r="T6" i="263"/>
  <c r="R6" i="263"/>
  <c r="P5" i="263"/>
  <c r="P10" i="263" s="1"/>
  <c r="N5" i="263"/>
  <c r="M5" i="263"/>
  <c r="K5" i="263"/>
  <c r="J5" i="263"/>
  <c r="J13" i="263" s="1"/>
  <c r="J14" i="263" s="1"/>
  <c r="U6" i="263" s="1"/>
  <c r="E5" i="263"/>
  <c r="N4" i="263"/>
  <c r="M4" i="263"/>
  <c r="J4" i="263"/>
  <c r="F4" i="263"/>
  <c r="E4" i="263"/>
  <c r="F41" i="263" s="1"/>
  <c r="P41" i="263" s="1"/>
  <c r="P90" i="262"/>
  <c r="O90" i="262"/>
  <c r="K90" i="262"/>
  <c r="I90" i="262"/>
  <c r="G90" i="262"/>
  <c r="P89" i="262"/>
  <c r="O89" i="262"/>
  <c r="K89" i="262"/>
  <c r="I89" i="262"/>
  <c r="G89" i="262"/>
  <c r="P88" i="262"/>
  <c r="O88" i="262"/>
  <c r="K88" i="262"/>
  <c r="I88" i="262"/>
  <c r="G88" i="262"/>
  <c r="P87" i="262"/>
  <c r="O87" i="262"/>
  <c r="K87" i="262"/>
  <c r="I87" i="262"/>
  <c r="G87" i="262"/>
  <c r="P86" i="262"/>
  <c r="O86" i="262"/>
  <c r="K86" i="262"/>
  <c r="I86" i="262"/>
  <c r="G86" i="262"/>
  <c r="P85" i="262"/>
  <c r="O85" i="262"/>
  <c r="K85" i="262"/>
  <c r="I85" i="262"/>
  <c r="G85" i="262"/>
  <c r="P84" i="262"/>
  <c r="O84" i="262"/>
  <c r="K84" i="262"/>
  <c r="I84" i="262"/>
  <c r="G84" i="262"/>
  <c r="P83" i="262"/>
  <c r="O83" i="262"/>
  <c r="K83" i="262"/>
  <c r="I83" i="262"/>
  <c r="G83" i="262"/>
  <c r="P82" i="262"/>
  <c r="O82" i="262"/>
  <c r="K82" i="262"/>
  <c r="I82" i="262"/>
  <c r="G82" i="262"/>
  <c r="P81" i="262"/>
  <c r="O81" i="262"/>
  <c r="K81" i="262"/>
  <c r="I81" i="262"/>
  <c r="G81" i="262"/>
  <c r="P80" i="262"/>
  <c r="O80" i="262"/>
  <c r="K80" i="262"/>
  <c r="I80" i="262"/>
  <c r="G80" i="262"/>
  <c r="P79" i="262"/>
  <c r="O79" i="262"/>
  <c r="K79" i="262"/>
  <c r="I79" i="262"/>
  <c r="G79" i="262"/>
  <c r="P78" i="262"/>
  <c r="O78" i="262"/>
  <c r="K78" i="262"/>
  <c r="I78" i="262"/>
  <c r="G78" i="262"/>
  <c r="P77" i="262"/>
  <c r="O77" i="262"/>
  <c r="K77" i="262"/>
  <c r="I77" i="262"/>
  <c r="G77" i="262"/>
  <c r="P76" i="262"/>
  <c r="O76" i="262"/>
  <c r="K76" i="262"/>
  <c r="I76" i="262"/>
  <c r="G76" i="262"/>
  <c r="P75" i="262"/>
  <c r="O75" i="262"/>
  <c r="K75" i="262"/>
  <c r="I75" i="262"/>
  <c r="G75" i="262"/>
  <c r="P74" i="262"/>
  <c r="K74" i="262"/>
  <c r="I74" i="262"/>
  <c r="G74" i="262"/>
  <c r="P73" i="262"/>
  <c r="K73" i="262"/>
  <c r="I73" i="262"/>
  <c r="G73" i="262"/>
  <c r="P71" i="262"/>
  <c r="O71" i="262"/>
  <c r="K71" i="262"/>
  <c r="G71" i="262"/>
  <c r="P70" i="262"/>
  <c r="O70" i="262"/>
  <c r="N70" i="262"/>
  <c r="K70" i="262"/>
  <c r="G70" i="262"/>
  <c r="P69" i="262"/>
  <c r="O69" i="262"/>
  <c r="N69" i="262"/>
  <c r="K69" i="262"/>
  <c r="G69" i="262"/>
  <c r="N67" i="262"/>
  <c r="F66" i="262" a="1"/>
  <c r="F66" i="262" s="1"/>
  <c r="P65" i="262"/>
  <c r="K65" i="262"/>
  <c r="E65" i="262"/>
  <c r="O64" i="262"/>
  <c r="M64" i="262"/>
  <c r="L64" i="262"/>
  <c r="L65" i="262" s="1"/>
  <c r="K64" i="262"/>
  <c r="J64" i="262"/>
  <c r="H64" i="262"/>
  <c r="I64" i="262" s="1"/>
  <c r="E64" i="262"/>
  <c r="E57" i="262"/>
  <c r="P57" i="262" s="1"/>
  <c r="O56" i="262"/>
  <c r="N56" i="262"/>
  <c r="L56" i="262"/>
  <c r="K56" i="262"/>
  <c r="H56" i="262"/>
  <c r="F56" i="262"/>
  <c r="P56" i="262" s="1"/>
  <c r="E56" i="262"/>
  <c r="P55" i="262"/>
  <c r="O55" i="262"/>
  <c r="N55" i="262"/>
  <c r="L55" i="262"/>
  <c r="K55" i="262"/>
  <c r="H55" i="262"/>
  <c r="F55" i="262"/>
  <c r="E55" i="262"/>
  <c r="O54" i="262"/>
  <c r="N54" i="262"/>
  <c r="L54" i="262"/>
  <c r="K54" i="262"/>
  <c r="H54" i="262"/>
  <c r="F54" i="262"/>
  <c r="P54" i="262" s="1"/>
  <c r="E54" i="262"/>
  <c r="O53" i="262"/>
  <c r="N53" i="262"/>
  <c r="L53" i="262"/>
  <c r="K53" i="262"/>
  <c r="H53" i="262"/>
  <c r="F53" i="262"/>
  <c r="P53" i="262" s="1"/>
  <c r="E53" i="262"/>
  <c r="P52" i="262"/>
  <c r="O52" i="262"/>
  <c r="N52" i="262"/>
  <c r="L52" i="262"/>
  <c r="K52" i="262"/>
  <c r="H52" i="262"/>
  <c r="F52" i="262"/>
  <c r="E52" i="262"/>
  <c r="O51" i="262"/>
  <c r="N51" i="262"/>
  <c r="L51" i="262"/>
  <c r="K51" i="262"/>
  <c r="H51" i="262"/>
  <c r="F51" i="262"/>
  <c r="P51" i="262" s="1"/>
  <c r="E51" i="262"/>
  <c r="O50" i="262"/>
  <c r="N50" i="262"/>
  <c r="L50" i="262"/>
  <c r="K50" i="262"/>
  <c r="H50" i="262"/>
  <c r="F50" i="262"/>
  <c r="P50" i="262" s="1"/>
  <c r="E50" i="262"/>
  <c r="P49" i="262"/>
  <c r="O49" i="262"/>
  <c r="N49" i="262"/>
  <c r="L49" i="262"/>
  <c r="K49" i="262"/>
  <c r="H49" i="262"/>
  <c r="F49" i="262"/>
  <c r="E49" i="262"/>
  <c r="O48" i="262"/>
  <c r="N48" i="262"/>
  <c r="L48" i="262"/>
  <c r="K48" i="262"/>
  <c r="H48" i="262"/>
  <c r="F48" i="262"/>
  <c r="P48" i="262" s="1"/>
  <c r="E48" i="262"/>
  <c r="O47" i="262"/>
  <c r="N47" i="262"/>
  <c r="L47" i="262"/>
  <c r="K47" i="262"/>
  <c r="H47" i="262"/>
  <c r="F47" i="262"/>
  <c r="P47" i="262" s="1"/>
  <c r="E47" i="262"/>
  <c r="O46" i="262"/>
  <c r="N46" i="262"/>
  <c r="L46" i="262"/>
  <c r="K46" i="262"/>
  <c r="H46" i="262"/>
  <c r="F46" i="262"/>
  <c r="P46" i="262" s="1"/>
  <c r="E46" i="262"/>
  <c r="O45" i="262"/>
  <c r="N45" i="262"/>
  <c r="L45" i="262"/>
  <c r="K45" i="262"/>
  <c r="H45" i="262"/>
  <c r="F45" i="262"/>
  <c r="P45" i="262" s="1"/>
  <c r="E45" i="262"/>
  <c r="O44" i="262"/>
  <c r="N44" i="262"/>
  <c r="L44" i="262"/>
  <c r="K44" i="262"/>
  <c r="H44" i="262"/>
  <c r="F44" i="262"/>
  <c r="P44" i="262" s="1"/>
  <c r="E44" i="262"/>
  <c r="O43" i="262"/>
  <c r="N43" i="262"/>
  <c r="L43" i="262"/>
  <c r="K43" i="262"/>
  <c r="H43" i="262"/>
  <c r="F43" i="262"/>
  <c r="P43" i="262" s="1"/>
  <c r="E43" i="262"/>
  <c r="O42" i="262"/>
  <c r="N42" i="262"/>
  <c r="L42" i="262"/>
  <c r="K42" i="262"/>
  <c r="H42" i="262"/>
  <c r="F42" i="262"/>
  <c r="P42" i="262" s="1"/>
  <c r="E42" i="262"/>
  <c r="O41" i="262"/>
  <c r="N41" i="262"/>
  <c r="L41" i="262"/>
  <c r="K41" i="262"/>
  <c r="H41" i="262"/>
  <c r="F41" i="262"/>
  <c r="P41" i="262" s="1"/>
  <c r="E41" i="262"/>
  <c r="O40" i="262"/>
  <c r="N40" i="262"/>
  <c r="L40" i="262"/>
  <c r="K40" i="262"/>
  <c r="H40" i="262"/>
  <c r="F40" i="262"/>
  <c r="P40" i="262" s="1"/>
  <c r="E40" i="262"/>
  <c r="O39" i="262"/>
  <c r="N39" i="262"/>
  <c r="L39" i="262"/>
  <c r="K39" i="262"/>
  <c r="H39" i="262"/>
  <c r="F39" i="262"/>
  <c r="P39" i="262" s="1"/>
  <c r="E39" i="262"/>
  <c r="O38" i="262"/>
  <c r="N38" i="262"/>
  <c r="L38" i="262"/>
  <c r="K38" i="262"/>
  <c r="H38" i="262"/>
  <c r="F38" i="262"/>
  <c r="P38" i="262" s="1"/>
  <c r="E38" i="262"/>
  <c r="O37" i="262"/>
  <c r="N37" i="262"/>
  <c r="L37" i="262"/>
  <c r="K37" i="262"/>
  <c r="H37" i="262"/>
  <c r="F37" i="262"/>
  <c r="P37" i="262" s="1"/>
  <c r="E37" i="262"/>
  <c r="O36" i="262"/>
  <c r="N36" i="262"/>
  <c r="L36" i="262"/>
  <c r="K36" i="262"/>
  <c r="H36" i="262"/>
  <c r="F36" i="262"/>
  <c r="P36" i="262" s="1"/>
  <c r="E36" i="262"/>
  <c r="O34" i="262"/>
  <c r="N34" i="262"/>
  <c r="K34" i="262"/>
  <c r="H34" i="262"/>
  <c r="F34" i="262"/>
  <c r="P34" i="262" s="1"/>
  <c r="E34" i="262"/>
  <c r="O33" i="262"/>
  <c r="N33" i="262"/>
  <c r="K33" i="262"/>
  <c r="H33" i="262"/>
  <c r="F33" i="262"/>
  <c r="P33" i="262" s="1"/>
  <c r="E33" i="262"/>
  <c r="O32" i="262"/>
  <c r="N32" i="262"/>
  <c r="K32" i="262"/>
  <c r="H32" i="262"/>
  <c r="F32" i="262"/>
  <c r="P32" i="262" s="1"/>
  <c r="E32" i="262"/>
  <c r="O31" i="262"/>
  <c r="N31" i="262"/>
  <c r="K31" i="262"/>
  <c r="H31" i="262"/>
  <c r="F31" i="262"/>
  <c r="P31" i="262" s="1"/>
  <c r="E31" i="262"/>
  <c r="O30" i="262"/>
  <c r="N30" i="262"/>
  <c r="K30" i="262"/>
  <c r="H30" i="262"/>
  <c r="F30" i="262"/>
  <c r="P30" i="262" s="1"/>
  <c r="E30" i="262"/>
  <c r="P28" i="262"/>
  <c r="J28" i="262"/>
  <c r="D28" i="262"/>
  <c r="L28" i="262" s="1"/>
  <c r="M28" i="262" s="1"/>
  <c r="C28" i="262"/>
  <c r="H28" i="262" s="1"/>
  <c r="I28" i="262" s="1"/>
  <c r="O28" i="262" s="1"/>
  <c r="A28" i="262"/>
  <c r="P27" i="262"/>
  <c r="J27" i="262"/>
  <c r="D27" i="262"/>
  <c r="L27" i="262" s="1"/>
  <c r="M27" i="262" s="1"/>
  <c r="C27" i="262"/>
  <c r="H27" i="262" s="1"/>
  <c r="I27" i="262" s="1"/>
  <c r="O27" i="262" s="1"/>
  <c r="A27" i="262"/>
  <c r="P26" i="262"/>
  <c r="J26" i="262"/>
  <c r="E26" i="262" a="1"/>
  <c r="E26" i="262" s="1"/>
  <c r="D26" i="262"/>
  <c r="L26" i="262" s="1"/>
  <c r="M26" i="262" s="1"/>
  <c r="C26" i="262"/>
  <c r="F26" i="262" s="1"/>
  <c r="P25" i="262"/>
  <c r="J25" i="262"/>
  <c r="E25" i="262" a="1"/>
  <c r="E25" i="262" s="1"/>
  <c r="D25" i="262"/>
  <c r="L25" i="262" s="1"/>
  <c r="M25" i="262" s="1"/>
  <c r="C25" i="262"/>
  <c r="H25" i="262" s="1"/>
  <c r="I25" i="262" s="1"/>
  <c r="O25" i="262" s="1"/>
  <c r="P24" i="262"/>
  <c r="J24" i="262"/>
  <c r="E24" i="262" a="1"/>
  <c r="E24" i="262" s="1"/>
  <c r="D24" i="262"/>
  <c r="L24" i="262" s="1"/>
  <c r="M24" i="262" s="1"/>
  <c r="C24" i="262"/>
  <c r="F24" i="262" s="1"/>
  <c r="P23" i="262"/>
  <c r="J23" i="262"/>
  <c r="E23" i="262" a="1"/>
  <c r="E23" i="262" s="1"/>
  <c r="D23" i="262"/>
  <c r="L23" i="262" s="1"/>
  <c r="M23" i="262" s="1"/>
  <c r="C23" i="262"/>
  <c r="H23" i="262" s="1"/>
  <c r="I23" i="262" s="1"/>
  <c r="O23" i="262" s="1"/>
  <c r="P22" i="262"/>
  <c r="J22" i="262"/>
  <c r="E22" i="262" a="1"/>
  <c r="E22" i="262" s="1"/>
  <c r="D22" i="262"/>
  <c r="L22" i="262" s="1"/>
  <c r="M22" i="262" s="1"/>
  <c r="C22" i="262"/>
  <c r="F22" i="262" s="1"/>
  <c r="P21" i="262"/>
  <c r="J21" i="262"/>
  <c r="E21" i="262" a="1"/>
  <c r="E21" i="262" s="1"/>
  <c r="D21" i="262"/>
  <c r="L21" i="262" s="1"/>
  <c r="M21" i="262" s="1"/>
  <c r="C21" i="262"/>
  <c r="H21" i="262" s="1"/>
  <c r="I21" i="262" s="1"/>
  <c r="O21" i="262" s="1"/>
  <c r="J20" i="262"/>
  <c r="D20" i="262"/>
  <c r="L20" i="262" s="1"/>
  <c r="M20" i="262" s="1"/>
  <c r="C20" i="262"/>
  <c r="F20" i="262" s="1"/>
  <c r="J19" i="262"/>
  <c r="E19" i="262" a="1"/>
  <c r="E19" i="262" s="1"/>
  <c r="D19" i="262"/>
  <c r="L19" i="262" s="1"/>
  <c r="M19" i="262" s="1"/>
  <c r="C19" i="262"/>
  <c r="H19" i="262" s="1"/>
  <c r="N17" i="262"/>
  <c r="E17" i="262"/>
  <c r="P17" i="262" s="1"/>
  <c r="P16" i="262"/>
  <c r="N16" i="262"/>
  <c r="E16" i="262"/>
  <c r="S14" i="262"/>
  <c r="N15" i="262"/>
  <c r="J15" i="262"/>
  <c r="J16" i="262" s="1"/>
  <c r="E15" i="262"/>
  <c r="P15" i="262" s="1"/>
  <c r="P14" i="262"/>
  <c r="P13" i="262"/>
  <c r="O13" i="262"/>
  <c r="P11" i="262"/>
  <c r="J11" i="262"/>
  <c r="S9" i="262"/>
  <c r="J10" i="262"/>
  <c r="E10" i="262"/>
  <c r="O9" i="262"/>
  <c r="E9" i="262"/>
  <c r="P9" i="262" s="1"/>
  <c r="J8" i="262"/>
  <c r="J9" i="262" s="1"/>
  <c r="L7" i="262"/>
  <c r="F7" i="262"/>
  <c r="E7" i="262" a="1"/>
  <c r="E7" i="262" s="1"/>
  <c r="X6" i="262"/>
  <c r="O92" i="262" s="1"/>
  <c r="V6" i="262"/>
  <c r="T6" i="262"/>
  <c r="R6" i="262"/>
  <c r="P5" i="262"/>
  <c r="P10" i="262" s="1"/>
  <c r="N5" i="262"/>
  <c r="M5" i="262"/>
  <c r="K5" i="262"/>
  <c r="J5" i="262"/>
  <c r="J13" i="262" s="1"/>
  <c r="J14" i="262" s="1"/>
  <c r="U6" i="262" s="1"/>
  <c r="E5" i="262"/>
  <c r="N4" i="262"/>
  <c r="M4" i="262"/>
  <c r="J4" i="262"/>
  <c r="F4" i="262"/>
  <c r="E4" i="262"/>
  <c r="E20" i="262" s="1" a="1"/>
  <c r="E20" i="262" s="1"/>
  <c r="P90" i="261"/>
  <c r="O90" i="261"/>
  <c r="K90" i="261"/>
  <c r="I90" i="261"/>
  <c r="G90" i="261"/>
  <c r="P89" i="261"/>
  <c r="O89" i="261"/>
  <c r="K89" i="261"/>
  <c r="I89" i="261"/>
  <c r="G89" i="261"/>
  <c r="P88" i="261"/>
  <c r="O88" i="261"/>
  <c r="K88" i="261"/>
  <c r="I88" i="261"/>
  <c r="G88" i="261"/>
  <c r="P87" i="261"/>
  <c r="O87" i="261"/>
  <c r="K87" i="261"/>
  <c r="I87" i="261"/>
  <c r="G87" i="261"/>
  <c r="P86" i="261"/>
  <c r="O86" i="261"/>
  <c r="K86" i="261"/>
  <c r="I86" i="261"/>
  <c r="G86" i="261"/>
  <c r="P85" i="261"/>
  <c r="O85" i="261"/>
  <c r="K85" i="261"/>
  <c r="I85" i="261"/>
  <c r="G85" i="261"/>
  <c r="P84" i="261"/>
  <c r="O84" i="261"/>
  <c r="K84" i="261"/>
  <c r="I84" i="261"/>
  <c r="G84" i="261"/>
  <c r="P83" i="261"/>
  <c r="O83" i="261"/>
  <c r="K83" i="261"/>
  <c r="I83" i="261"/>
  <c r="G83" i="261"/>
  <c r="P82" i="261"/>
  <c r="O82" i="261"/>
  <c r="K82" i="261"/>
  <c r="I82" i="261"/>
  <c r="G82" i="261"/>
  <c r="P81" i="261"/>
  <c r="O81" i="261"/>
  <c r="K81" i="261"/>
  <c r="I81" i="261"/>
  <c r="G81" i="261"/>
  <c r="P80" i="261"/>
  <c r="O80" i="261"/>
  <c r="K80" i="261"/>
  <c r="I80" i="261"/>
  <c r="G80" i="261"/>
  <c r="P79" i="261"/>
  <c r="O79" i="261"/>
  <c r="K79" i="261"/>
  <c r="I79" i="261"/>
  <c r="G79" i="261"/>
  <c r="P78" i="261"/>
  <c r="O78" i="261"/>
  <c r="K78" i="261"/>
  <c r="I78" i="261"/>
  <c r="G78" i="261"/>
  <c r="P77" i="261"/>
  <c r="O77" i="261"/>
  <c r="K77" i="261"/>
  <c r="I77" i="261"/>
  <c r="G77" i="261"/>
  <c r="P76" i="261"/>
  <c r="O76" i="261"/>
  <c r="K76" i="261"/>
  <c r="I76" i="261"/>
  <c r="G76" i="261"/>
  <c r="P75" i="261"/>
  <c r="O75" i="261"/>
  <c r="K75" i="261"/>
  <c r="I75" i="261"/>
  <c r="G75" i="261"/>
  <c r="P74" i="261"/>
  <c r="K74" i="261"/>
  <c r="I74" i="261"/>
  <c r="G74" i="261"/>
  <c r="P73" i="261"/>
  <c r="K73" i="261"/>
  <c r="I73" i="261"/>
  <c r="G73" i="261"/>
  <c r="P71" i="261"/>
  <c r="O71" i="261"/>
  <c r="K71" i="261"/>
  <c r="G71" i="261"/>
  <c r="P70" i="261"/>
  <c r="O70" i="261"/>
  <c r="N70" i="261"/>
  <c r="K70" i="261"/>
  <c r="G70" i="261"/>
  <c r="P69" i="261"/>
  <c r="O69" i="261"/>
  <c r="N69" i="261"/>
  <c r="K69" i="261"/>
  <c r="G69" i="261"/>
  <c r="N67" i="261"/>
  <c r="H66" i="261"/>
  <c r="P66" i="261" s="1" a="1"/>
  <c r="P66" i="261" s="1"/>
  <c r="F66" i="261" a="1"/>
  <c r="F66" i="261" s="1"/>
  <c r="P65" i="261"/>
  <c r="K65" i="261"/>
  <c r="E65" i="261"/>
  <c r="O64" i="261"/>
  <c r="M64" i="261"/>
  <c r="L64" i="261"/>
  <c r="P64" i="261" s="1"/>
  <c r="K64" i="261"/>
  <c r="J64" i="261"/>
  <c r="H64" i="261"/>
  <c r="I64" i="261" s="1"/>
  <c r="E57" i="261"/>
  <c r="P57" i="261" s="1"/>
  <c r="O56" i="261"/>
  <c r="N56" i="261"/>
  <c r="L56" i="261"/>
  <c r="K56" i="261"/>
  <c r="H56" i="261"/>
  <c r="F56" i="261"/>
  <c r="P56" i="261" s="1"/>
  <c r="E56" i="261"/>
  <c r="P55" i="261"/>
  <c r="O55" i="261"/>
  <c r="N55" i="261"/>
  <c r="L55" i="261"/>
  <c r="K55" i="261"/>
  <c r="H55" i="261"/>
  <c r="F55" i="261"/>
  <c r="E55" i="261"/>
  <c r="O54" i="261"/>
  <c r="N54" i="261"/>
  <c r="L54" i="261"/>
  <c r="K54" i="261"/>
  <c r="H54" i="261"/>
  <c r="F54" i="261"/>
  <c r="P54" i="261" s="1"/>
  <c r="E54" i="261"/>
  <c r="O53" i="261"/>
  <c r="N53" i="261"/>
  <c r="L53" i="261"/>
  <c r="K53" i="261"/>
  <c r="H53" i="261"/>
  <c r="F53" i="261"/>
  <c r="P53" i="261" s="1"/>
  <c r="E53" i="261"/>
  <c r="P52" i="261"/>
  <c r="O52" i="261"/>
  <c r="N52" i="261"/>
  <c r="L52" i="261"/>
  <c r="K52" i="261"/>
  <c r="H52" i="261"/>
  <c r="F52" i="261"/>
  <c r="E52" i="261"/>
  <c r="O51" i="261"/>
  <c r="N51" i="261"/>
  <c r="L51" i="261"/>
  <c r="K51" i="261"/>
  <c r="H51" i="261"/>
  <c r="F51" i="261"/>
  <c r="P51" i="261" s="1"/>
  <c r="E51" i="261"/>
  <c r="O50" i="261"/>
  <c r="N50" i="261"/>
  <c r="L50" i="261"/>
  <c r="K50" i="261"/>
  <c r="H50" i="261"/>
  <c r="F50" i="261"/>
  <c r="P50" i="261" s="1"/>
  <c r="E50" i="261"/>
  <c r="O49" i="261"/>
  <c r="N49" i="261"/>
  <c r="L49" i="261"/>
  <c r="K49" i="261"/>
  <c r="H49" i="261"/>
  <c r="F49" i="261"/>
  <c r="P49" i="261" s="1"/>
  <c r="E49" i="261"/>
  <c r="O48" i="261"/>
  <c r="N48" i="261"/>
  <c r="L48" i="261"/>
  <c r="K48" i="261"/>
  <c r="H48" i="261"/>
  <c r="F48" i="261"/>
  <c r="P48" i="261" s="1"/>
  <c r="E48" i="261"/>
  <c r="O47" i="261"/>
  <c r="N47" i="261"/>
  <c r="L47" i="261"/>
  <c r="K47" i="261"/>
  <c r="H47" i="261"/>
  <c r="F47" i="261"/>
  <c r="P47" i="261" s="1"/>
  <c r="E47" i="261"/>
  <c r="O46" i="261"/>
  <c r="N46" i="261"/>
  <c r="L46" i="261"/>
  <c r="K46" i="261"/>
  <c r="H46" i="261"/>
  <c r="F46" i="261"/>
  <c r="P46" i="261" s="1"/>
  <c r="E46" i="261"/>
  <c r="O45" i="261"/>
  <c r="N45" i="261"/>
  <c r="L45" i="261"/>
  <c r="K45" i="261"/>
  <c r="H45" i="261"/>
  <c r="F45" i="261"/>
  <c r="P45" i="261" s="1"/>
  <c r="E45" i="261"/>
  <c r="O44" i="261"/>
  <c r="N44" i="261"/>
  <c r="L44" i="261"/>
  <c r="K44" i="261"/>
  <c r="H44" i="261"/>
  <c r="F44" i="261"/>
  <c r="P44" i="261" s="1"/>
  <c r="E44" i="261"/>
  <c r="O43" i="261"/>
  <c r="N43" i="261"/>
  <c r="L43" i="261"/>
  <c r="K43" i="261"/>
  <c r="H43" i="261"/>
  <c r="F43" i="261"/>
  <c r="P43" i="261" s="1"/>
  <c r="E43" i="261"/>
  <c r="O42" i="261"/>
  <c r="N42" i="261"/>
  <c r="L42" i="261"/>
  <c r="K42" i="261"/>
  <c r="H42" i="261"/>
  <c r="F42" i="261"/>
  <c r="P42" i="261" s="1"/>
  <c r="E42" i="261"/>
  <c r="O41" i="261"/>
  <c r="N41" i="261"/>
  <c r="L41" i="261"/>
  <c r="K41" i="261"/>
  <c r="H41" i="261"/>
  <c r="F41" i="261"/>
  <c r="P41" i="261" s="1"/>
  <c r="E41" i="261"/>
  <c r="O40" i="261"/>
  <c r="N40" i="261"/>
  <c r="L40" i="261"/>
  <c r="K40" i="261"/>
  <c r="H40" i="261"/>
  <c r="F40" i="261"/>
  <c r="P40" i="261" s="1"/>
  <c r="E40" i="261"/>
  <c r="O39" i="261"/>
  <c r="N39" i="261"/>
  <c r="L39" i="261"/>
  <c r="K39" i="261"/>
  <c r="H39" i="261"/>
  <c r="F39" i="261"/>
  <c r="P39" i="261" s="1"/>
  <c r="E39" i="261"/>
  <c r="O38" i="261"/>
  <c r="N38" i="261"/>
  <c r="L38" i="261"/>
  <c r="K38" i="261"/>
  <c r="H38" i="261"/>
  <c r="F38" i="261"/>
  <c r="P38" i="261" s="1"/>
  <c r="E38" i="261"/>
  <c r="O37" i="261"/>
  <c r="N37" i="261"/>
  <c r="L37" i="261"/>
  <c r="K37" i="261"/>
  <c r="H37" i="261"/>
  <c r="F37" i="261"/>
  <c r="P37" i="261" s="1"/>
  <c r="E37" i="261"/>
  <c r="O36" i="261"/>
  <c r="N36" i="261"/>
  <c r="L36" i="261"/>
  <c r="K36" i="261"/>
  <c r="H36" i="261"/>
  <c r="F36" i="261"/>
  <c r="P36" i="261" s="1"/>
  <c r="E36" i="261"/>
  <c r="O34" i="261"/>
  <c r="N34" i="261"/>
  <c r="K34" i="261"/>
  <c r="H34" i="261"/>
  <c r="F34" i="261"/>
  <c r="P34" i="261" s="1"/>
  <c r="E34" i="261"/>
  <c r="O33" i="261"/>
  <c r="N33" i="261"/>
  <c r="K33" i="261"/>
  <c r="H33" i="261"/>
  <c r="F33" i="261"/>
  <c r="P33" i="261" s="1"/>
  <c r="E33" i="261"/>
  <c r="O32" i="261"/>
  <c r="N32" i="261"/>
  <c r="K32" i="261"/>
  <c r="H32" i="261"/>
  <c r="F32" i="261"/>
  <c r="P32" i="261" s="1"/>
  <c r="E32" i="261"/>
  <c r="O31" i="261"/>
  <c r="N31" i="261"/>
  <c r="K31" i="261"/>
  <c r="H31" i="261"/>
  <c r="F31" i="261"/>
  <c r="P31" i="261" s="1"/>
  <c r="E31" i="261"/>
  <c r="O30" i="261"/>
  <c r="N30" i="261"/>
  <c r="K30" i="261"/>
  <c r="H30" i="261"/>
  <c r="F30" i="261"/>
  <c r="P30" i="261" s="1"/>
  <c r="E30" i="261"/>
  <c r="P28" i="261"/>
  <c r="J28" i="261"/>
  <c r="D28" i="261"/>
  <c r="L28" i="261" s="1"/>
  <c r="M28" i="261" s="1"/>
  <c r="C28" i="261"/>
  <c r="H28" i="261" s="1"/>
  <c r="I28" i="261" s="1"/>
  <c r="O28" i="261" s="1"/>
  <c r="A28" i="261"/>
  <c r="P27" i="261"/>
  <c r="J27" i="261"/>
  <c r="D27" i="261"/>
  <c r="L27" i="261" s="1"/>
  <c r="M27" i="261" s="1"/>
  <c r="C27" i="261"/>
  <c r="F27" i="261" s="1"/>
  <c r="A27" i="261"/>
  <c r="P26" i="261"/>
  <c r="J26" i="261"/>
  <c r="E26" i="261" a="1"/>
  <c r="E26" i="261" s="1"/>
  <c r="D26" i="261"/>
  <c r="L26" i="261" s="1"/>
  <c r="M26" i="261" s="1"/>
  <c r="C26" i="261"/>
  <c r="H26" i="261" s="1"/>
  <c r="I26" i="261" s="1"/>
  <c r="O26" i="261" s="1"/>
  <c r="P25" i="261"/>
  <c r="J25" i="261"/>
  <c r="E25" i="261" a="1"/>
  <c r="E25" i="261" s="1"/>
  <c r="D25" i="261"/>
  <c r="L25" i="261" s="1"/>
  <c r="M25" i="261" s="1"/>
  <c r="C25" i="261"/>
  <c r="H25" i="261" s="1"/>
  <c r="I25" i="261" s="1"/>
  <c r="O25" i="261" s="1"/>
  <c r="P24" i="261"/>
  <c r="J24" i="261"/>
  <c r="E24" i="261" a="1"/>
  <c r="E24" i="261" s="1"/>
  <c r="D24" i="261"/>
  <c r="L24" i="261" s="1"/>
  <c r="M24" i="261" s="1"/>
  <c r="C24" i="261"/>
  <c r="H24" i="261" s="1"/>
  <c r="I24" i="261" s="1"/>
  <c r="O24" i="261" s="1"/>
  <c r="P23" i="261"/>
  <c r="J23" i="261"/>
  <c r="E23" i="261" a="1"/>
  <c r="E23" i="261" s="1"/>
  <c r="D23" i="261"/>
  <c r="L23" i="261" s="1"/>
  <c r="M23" i="261" s="1"/>
  <c r="C23" i="261"/>
  <c r="H23" i="261" s="1"/>
  <c r="I23" i="261" s="1"/>
  <c r="O23" i="261" s="1"/>
  <c r="P22" i="261"/>
  <c r="J22" i="261"/>
  <c r="E22" i="261"/>
  <c r="E22" i="261" a="1"/>
  <c r="D22" i="261"/>
  <c r="L22" i="261" s="1"/>
  <c r="M22" i="261" s="1"/>
  <c r="C22" i="261"/>
  <c r="H22" i="261" s="1"/>
  <c r="I22" i="261" s="1"/>
  <c r="O22" i="261" s="1"/>
  <c r="P21" i="261"/>
  <c r="J21" i="261"/>
  <c r="E21" i="261" a="1"/>
  <c r="E21" i="261" s="1"/>
  <c r="D21" i="261"/>
  <c r="L21" i="261" s="1"/>
  <c r="M21" i="261" s="1"/>
  <c r="C21" i="261"/>
  <c r="H21" i="261" s="1"/>
  <c r="I21" i="261" s="1"/>
  <c r="O21" i="261" s="1"/>
  <c r="P20" i="261"/>
  <c r="J20" i="261"/>
  <c r="D20" i="261"/>
  <c r="L20" i="261" s="1"/>
  <c r="M20" i="261" s="1"/>
  <c r="C20" i="261"/>
  <c r="H20" i="261" s="1"/>
  <c r="I20" i="261" s="1"/>
  <c r="O20" i="261" s="1"/>
  <c r="P19" i="261"/>
  <c r="J19" i="261"/>
  <c r="E19" i="261" a="1"/>
  <c r="E19" i="261" s="1"/>
  <c r="D19" i="261"/>
  <c r="L19" i="261" s="1"/>
  <c r="M19" i="261" s="1"/>
  <c r="C19" i="261"/>
  <c r="H19" i="261" s="1"/>
  <c r="P17" i="261"/>
  <c r="N17" i="261"/>
  <c r="E17" i="261"/>
  <c r="P16" i="261"/>
  <c r="N16" i="261"/>
  <c r="E16" i="261"/>
  <c r="S14" i="261"/>
  <c r="N15" i="261"/>
  <c r="J15" i="261"/>
  <c r="J16" i="261" s="1"/>
  <c r="E15" i="261"/>
  <c r="P15" i="261" s="1"/>
  <c r="P14" i="261"/>
  <c r="P13" i="261"/>
  <c r="O13" i="261"/>
  <c r="J13" i="261"/>
  <c r="J14" i="261" s="1"/>
  <c r="U6" i="261" s="1"/>
  <c r="P11" i="261"/>
  <c r="J11" i="261"/>
  <c r="S9" i="261"/>
  <c r="P10" i="261"/>
  <c r="J10" i="261"/>
  <c r="E10" i="261"/>
  <c r="O9" i="261"/>
  <c r="P8" i="261"/>
  <c r="J8" i="261"/>
  <c r="J9" i="261" s="1"/>
  <c r="L7" i="261"/>
  <c r="F7" i="261"/>
  <c r="X6" i="261"/>
  <c r="O92" i="261" s="1"/>
  <c r="V6" i="261"/>
  <c r="T6" i="261"/>
  <c r="R6" i="261"/>
  <c r="P5" i="261"/>
  <c r="N5" i="261"/>
  <c r="M5" i="261"/>
  <c r="K5" i="261"/>
  <c r="J5" i="261"/>
  <c r="E5" i="261"/>
  <c r="N4" i="261"/>
  <c r="M4" i="261"/>
  <c r="J4" i="261"/>
  <c r="F4" i="261"/>
  <c r="E4" i="261"/>
  <c r="E9" i="261" s="1"/>
  <c r="P9" i="261" s="1"/>
  <c r="P90" i="259"/>
  <c r="O90" i="259"/>
  <c r="K90" i="259"/>
  <c r="I90" i="259"/>
  <c r="G90" i="259"/>
  <c r="P89" i="259"/>
  <c r="O89" i="259"/>
  <c r="K89" i="259"/>
  <c r="I89" i="259"/>
  <c r="G89" i="259"/>
  <c r="P88" i="259"/>
  <c r="O88" i="259"/>
  <c r="K88" i="259"/>
  <c r="I88" i="259"/>
  <c r="G88" i="259"/>
  <c r="P87" i="259"/>
  <c r="O87" i="259"/>
  <c r="K87" i="259"/>
  <c r="I87" i="259"/>
  <c r="G87" i="259"/>
  <c r="P86" i="259"/>
  <c r="O86" i="259"/>
  <c r="K86" i="259"/>
  <c r="I86" i="259"/>
  <c r="G86" i="259"/>
  <c r="P85" i="259"/>
  <c r="O85" i="259"/>
  <c r="K85" i="259"/>
  <c r="I85" i="259"/>
  <c r="G85" i="259"/>
  <c r="P84" i="259"/>
  <c r="O84" i="259"/>
  <c r="K84" i="259"/>
  <c r="I84" i="259"/>
  <c r="G84" i="259"/>
  <c r="P83" i="259"/>
  <c r="O83" i="259"/>
  <c r="K83" i="259"/>
  <c r="I83" i="259"/>
  <c r="G83" i="259"/>
  <c r="P82" i="259"/>
  <c r="O82" i="259"/>
  <c r="K82" i="259"/>
  <c r="I82" i="259"/>
  <c r="G82" i="259"/>
  <c r="P81" i="259"/>
  <c r="O81" i="259"/>
  <c r="K81" i="259"/>
  <c r="I81" i="259"/>
  <c r="G81" i="259"/>
  <c r="P80" i="259"/>
  <c r="O80" i="259"/>
  <c r="K80" i="259"/>
  <c r="I80" i="259"/>
  <c r="G80" i="259"/>
  <c r="P79" i="259"/>
  <c r="O79" i="259"/>
  <c r="K79" i="259"/>
  <c r="I79" i="259"/>
  <c r="G79" i="259"/>
  <c r="P78" i="259"/>
  <c r="O78" i="259"/>
  <c r="K78" i="259"/>
  <c r="I78" i="259"/>
  <c r="G78" i="259"/>
  <c r="P77" i="259"/>
  <c r="O77" i="259"/>
  <c r="K77" i="259"/>
  <c r="I77" i="259"/>
  <c r="G77" i="259"/>
  <c r="P76" i="259"/>
  <c r="O76" i="259"/>
  <c r="K76" i="259"/>
  <c r="I76" i="259"/>
  <c r="G76" i="259"/>
  <c r="P75" i="259"/>
  <c r="O75" i="259"/>
  <c r="K75" i="259"/>
  <c r="I75" i="259"/>
  <c r="G75" i="259"/>
  <c r="P74" i="259"/>
  <c r="K74" i="259"/>
  <c r="I74" i="259"/>
  <c r="G74" i="259"/>
  <c r="P73" i="259"/>
  <c r="K73" i="259"/>
  <c r="I73" i="259"/>
  <c r="G73" i="259"/>
  <c r="P71" i="259"/>
  <c r="O71" i="259"/>
  <c r="K71" i="259"/>
  <c r="G71" i="259"/>
  <c r="P70" i="259"/>
  <c r="O70" i="259"/>
  <c r="N70" i="259"/>
  <c r="K70" i="259"/>
  <c r="G70" i="259"/>
  <c r="P69" i="259"/>
  <c r="O69" i="259"/>
  <c r="N69" i="259"/>
  <c r="K69" i="259"/>
  <c r="G69" i="259"/>
  <c r="N67" i="259"/>
  <c r="F66" i="259"/>
  <c r="F66" i="259" a="1"/>
  <c r="P65" i="259"/>
  <c r="K65" i="259"/>
  <c r="E65" i="259"/>
  <c r="O64" i="259"/>
  <c r="M64" i="259"/>
  <c r="L64" i="259"/>
  <c r="P64" i="259" s="1"/>
  <c r="K64" i="259"/>
  <c r="J64" i="259"/>
  <c r="H64" i="259"/>
  <c r="I64" i="259" s="1"/>
  <c r="E57" i="259"/>
  <c r="P57" i="259" s="1"/>
  <c r="O56" i="259"/>
  <c r="N56" i="259"/>
  <c r="L56" i="259"/>
  <c r="K56" i="259"/>
  <c r="H56" i="259"/>
  <c r="F56" i="259"/>
  <c r="P56" i="259" s="1"/>
  <c r="E56" i="259"/>
  <c r="O55" i="259"/>
  <c r="N55" i="259"/>
  <c r="L55" i="259"/>
  <c r="K55" i="259"/>
  <c r="H55" i="259"/>
  <c r="F55" i="259"/>
  <c r="P55" i="259" s="1"/>
  <c r="E55" i="259"/>
  <c r="O54" i="259"/>
  <c r="N54" i="259"/>
  <c r="L54" i="259"/>
  <c r="K54" i="259"/>
  <c r="H54" i="259"/>
  <c r="F54" i="259"/>
  <c r="P54" i="259" s="1"/>
  <c r="E54" i="259"/>
  <c r="O53" i="259"/>
  <c r="N53" i="259"/>
  <c r="L53" i="259"/>
  <c r="K53" i="259"/>
  <c r="H53" i="259"/>
  <c r="F53" i="259"/>
  <c r="P53" i="259" s="1"/>
  <c r="E53" i="259"/>
  <c r="O52" i="259"/>
  <c r="N52" i="259"/>
  <c r="L52" i="259"/>
  <c r="K52" i="259"/>
  <c r="H52" i="259"/>
  <c r="F52" i="259"/>
  <c r="P52" i="259" s="1"/>
  <c r="E52" i="259"/>
  <c r="O51" i="259"/>
  <c r="N51" i="259"/>
  <c r="L51" i="259"/>
  <c r="K51" i="259"/>
  <c r="H51" i="259"/>
  <c r="F51" i="259"/>
  <c r="P51" i="259" s="1"/>
  <c r="E51" i="259"/>
  <c r="O50" i="259"/>
  <c r="N50" i="259"/>
  <c r="L50" i="259"/>
  <c r="K50" i="259"/>
  <c r="H50" i="259"/>
  <c r="F50" i="259"/>
  <c r="P50" i="259" s="1"/>
  <c r="E50" i="259"/>
  <c r="O49" i="259"/>
  <c r="N49" i="259"/>
  <c r="L49" i="259"/>
  <c r="K49" i="259"/>
  <c r="H49" i="259"/>
  <c r="F49" i="259"/>
  <c r="P49" i="259" s="1"/>
  <c r="E49" i="259"/>
  <c r="O48" i="259"/>
  <c r="N48" i="259"/>
  <c r="L48" i="259"/>
  <c r="K48" i="259"/>
  <c r="H48" i="259"/>
  <c r="F48" i="259"/>
  <c r="P48" i="259" s="1"/>
  <c r="E48" i="259"/>
  <c r="O47" i="259"/>
  <c r="N47" i="259"/>
  <c r="L47" i="259"/>
  <c r="K47" i="259"/>
  <c r="H47" i="259"/>
  <c r="F47" i="259"/>
  <c r="P47" i="259" s="1"/>
  <c r="E47" i="259"/>
  <c r="O46" i="259"/>
  <c r="N46" i="259"/>
  <c r="L46" i="259"/>
  <c r="K46" i="259"/>
  <c r="H46" i="259"/>
  <c r="F46" i="259"/>
  <c r="P46" i="259" s="1"/>
  <c r="E46" i="259"/>
  <c r="O45" i="259"/>
  <c r="N45" i="259"/>
  <c r="L45" i="259"/>
  <c r="K45" i="259"/>
  <c r="H45" i="259"/>
  <c r="F45" i="259"/>
  <c r="P45" i="259" s="1"/>
  <c r="E45" i="259"/>
  <c r="O44" i="259"/>
  <c r="N44" i="259"/>
  <c r="L44" i="259"/>
  <c r="K44" i="259"/>
  <c r="H44" i="259"/>
  <c r="F44" i="259"/>
  <c r="P44" i="259" s="1"/>
  <c r="E44" i="259"/>
  <c r="O43" i="259"/>
  <c r="N43" i="259"/>
  <c r="L43" i="259"/>
  <c r="K43" i="259"/>
  <c r="H43" i="259"/>
  <c r="F43" i="259"/>
  <c r="P43" i="259" s="1"/>
  <c r="E43" i="259"/>
  <c r="O42" i="259"/>
  <c r="N42" i="259"/>
  <c r="L42" i="259"/>
  <c r="K42" i="259"/>
  <c r="H42" i="259"/>
  <c r="F42" i="259"/>
  <c r="P42" i="259" s="1"/>
  <c r="E42" i="259"/>
  <c r="O41" i="259"/>
  <c r="N41" i="259"/>
  <c r="L41" i="259"/>
  <c r="K41" i="259"/>
  <c r="H41" i="259"/>
  <c r="F41" i="259"/>
  <c r="P41" i="259" s="1"/>
  <c r="E41" i="259"/>
  <c r="O40" i="259"/>
  <c r="N40" i="259"/>
  <c r="L40" i="259"/>
  <c r="K40" i="259"/>
  <c r="H40" i="259"/>
  <c r="E40" i="259"/>
  <c r="O39" i="259"/>
  <c r="N39" i="259"/>
  <c r="L39" i="259"/>
  <c r="K39" i="259"/>
  <c r="H39" i="259"/>
  <c r="F39" i="259"/>
  <c r="P39" i="259" s="1"/>
  <c r="E39" i="259"/>
  <c r="O38" i="259"/>
  <c r="N38" i="259"/>
  <c r="L38" i="259"/>
  <c r="K38" i="259"/>
  <c r="H38" i="259"/>
  <c r="F38" i="259"/>
  <c r="P38" i="259" s="1"/>
  <c r="E38" i="259"/>
  <c r="O37" i="259"/>
  <c r="N37" i="259"/>
  <c r="L37" i="259"/>
  <c r="K37" i="259"/>
  <c r="H37" i="259"/>
  <c r="F37" i="259"/>
  <c r="P37" i="259" s="1"/>
  <c r="E37" i="259"/>
  <c r="O36" i="259"/>
  <c r="N36" i="259"/>
  <c r="L36" i="259"/>
  <c r="K36" i="259"/>
  <c r="H36" i="259"/>
  <c r="F36" i="259"/>
  <c r="P36" i="259" s="1"/>
  <c r="E36" i="259"/>
  <c r="O34" i="259"/>
  <c r="N34" i="259"/>
  <c r="K34" i="259"/>
  <c r="H34" i="259"/>
  <c r="F34" i="259"/>
  <c r="P34" i="259" s="1"/>
  <c r="E34" i="259"/>
  <c r="O33" i="259"/>
  <c r="N33" i="259"/>
  <c r="K33" i="259"/>
  <c r="H33" i="259"/>
  <c r="F33" i="259"/>
  <c r="P33" i="259" s="1"/>
  <c r="E33" i="259"/>
  <c r="O32" i="259"/>
  <c r="N32" i="259"/>
  <c r="K32" i="259"/>
  <c r="H32" i="259"/>
  <c r="F32" i="259"/>
  <c r="P32" i="259" s="1"/>
  <c r="E32" i="259"/>
  <c r="O31" i="259"/>
  <c r="N31" i="259"/>
  <c r="K31" i="259"/>
  <c r="H31" i="259"/>
  <c r="F31" i="259"/>
  <c r="P31" i="259" s="1"/>
  <c r="E31" i="259"/>
  <c r="O30" i="259"/>
  <c r="N30" i="259"/>
  <c r="K30" i="259"/>
  <c r="H30" i="259"/>
  <c r="F30" i="259"/>
  <c r="P30" i="259" s="1"/>
  <c r="E30" i="259"/>
  <c r="P28" i="259"/>
  <c r="J28" i="259"/>
  <c r="D28" i="259"/>
  <c r="L28" i="259" s="1"/>
  <c r="M28" i="259" s="1"/>
  <c r="C28" i="259"/>
  <c r="H28" i="259" s="1"/>
  <c r="I28" i="259" s="1"/>
  <c r="O28" i="259" s="1"/>
  <c r="A28" i="259"/>
  <c r="P27" i="259"/>
  <c r="J27" i="259"/>
  <c r="D27" i="259"/>
  <c r="L27" i="259" s="1"/>
  <c r="M27" i="259" s="1"/>
  <c r="C27" i="259"/>
  <c r="F27" i="259" s="1"/>
  <c r="A27" i="259"/>
  <c r="P26" i="259"/>
  <c r="J26" i="259"/>
  <c r="E26" i="259" a="1"/>
  <c r="E26" i="259" s="1"/>
  <c r="D26" i="259"/>
  <c r="L26" i="259" s="1"/>
  <c r="M26" i="259" s="1"/>
  <c r="C26" i="259"/>
  <c r="H26" i="259" s="1"/>
  <c r="I26" i="259" s="1"/>
  <c r="O26" i="259" s="1"/>
  <c r="P25" i="259"/>
  <c r="J25" i="259"/>
  <c r="F25" i="259"/>
  <c r="E25" i="259" a="1"/>
  <c r="E25" i="259" s="1"/>
  <c r="D25" i="259"/>
  <c r="L25" i="259" s="1"/>
  <c r="M25" i="259" s="1"/>
  <c r="C25" i="259"/>
  <c r="H25" i="259" s="1"/>
  <c r="I25" i="259" s="1"/>
  <c r="O25" i="259" s="1"/>
  <c r="P24" i="259"/>
  <c r="J24" i="259"/>
  <c r="E24" i="259" a="1"/>
  <c r="E24" i="259" s="1"/>
  <c r="D24" i="259"/>
  <c r="L24" i="259" s="1"/>
  <c r="M24" i="259" s="1"/>
  <c r="C24" i="259"/>
  <c r="H24" i="259" s="1"/>
  <c r="I24" i="259" s="1"/>
  <c r="O24" i="259" s="1"/>
  <c r="P23" i="259"/>
  <c r="J23" i="259"/>
  <c r="E23" i="259" a="1"/>
  <c r="E23" i="259" s="1"/>
  <c r="D23" i="259"/>
  <c r="L23" i="259" s="1"/>
  <c r="M23" i="259" s="1"/>
  <c r="C23" i="259"/>
  <c r="H23" i="259" s="1"/>
  <c r="I23" i="259" s="1"/>
  <c r="O23" i="259" s="1"/>
  <c r="P22" i="259"/>
  <c r="J22" i="259"/>
  <c r="E22" i="259" a="1"/>
  <c r="E22" i="259" s="1"/>
  <c r="D22" i="259"/>
  <c r="L22" i="259" s="1"/>
  <c r="M22" i="259" s="1"/>
  <c r="C22" i="259"/>
  <c r="H22" i="259" s="1"/>
  <c r="I22" i="259" s="1"/>
  <c r="O22" i="259" s="1"/>
  <c r="P21" i="259"/>
  <c r="J21" i="259"/>
  <c r="E21" i="259" a="1"/>
  <c r="E21" i="259" s="1"/>
  <c r="D21" i="259"/>
  <c r="L21" i="259" s="1"/>
  <c r="M21" i="259" s="1"/>
  <c r="C21" i="259"/>
  <c r="H21" i="259" s="1"/>
  <c r="I21" i="259" s="1"/>
  <c r="O21" i="259" s="1"/>
  <c r="J20" i="259"/>
  <c r="D20" i="259"/>
  <c r="L20" i="259" s="1"/>
  <c r="M20" i="259" s="1"/>
  <c r="C20" i="259"/>
  <c r="H20" i="259" s="1"/>
  <c r="I20" i="259" s="1"/>
  <c r="O20" i="259" s="1"/>
  <c r="J19" i="259"/>
  <c r="D19" i="259"/>
  <c r="L19" i="259" s="1"/>
  <c r="M19" i="259" s="1"/>
  <c r="C19" i="259"/>
  <c r="F19" i="259" s="1"/>
  <c r="N17" i="259"/>
  <c r="E17" i="259"/>
  <c r="P17" i="259" s="1"/>
  <c r="P16" i="259"/>
  <c r="N16" i="259"/>
  <c r="E16" i="259"/>
  <c r="N15" i="259"/>
  <c r="J15" i="259"/>
  <c r="J16" i="259" s="1"/>
  <c r="E15" i="259"/>
  <c r="P15" i="259" s="1"/>
  <c r="S14" i="259"/>
  <c r="P13" i="259"/>
  <c r="O13" i="259"/>
  <c r="P11" i="259"/>
  <c r="J11" i="259"/>
  <c r="J10" i="259"/>
  <c r="E10" i="259"/>
  <c r="S9" i="259"/>
  <c r="O9" i="259"/>
  <c r="J8" i="259"/>
  <c r="J9" i="259" s="1"/>
  <c r="L7" i="259"/>
  <c r="F7" i="259"/>
  <c r="X6" i="259"/>
  <c r="O92" i="259" s="1"/>
  <c r="V6" i="259"/>
  <c r="T6" i="259"/>
  <c r="R6" i="259"/>
  <c r="P5" i="259"/>
  <c r="P14" i="259" s="1"/>
  <c r="N5" i="259"/>
  <c r="M5" i="259"/>
  <c r="K5" i="259"/>
  <c r="J5" i="259"/>
  <c r="J13" i="259" s="1"/>
  <c r="J14" i="259" s="1"/>
  <c r="U6" i="259" s="1"/>
  <c r="E5" i="259"/>
  <c r="N4" i="259"/>
  <c r="M4" i="259"/>
  <c r="J4" i="259"/>
  <c r="F4" i="259"/>
  <c r="E4" i="259"/>
  <c r="E20" i="259" s="1" a="1"/>
  <c r="E20" i="259" s="1"/>
  <c r="P90" i="257"/>
  <c r="O90" i="257"/>
  <c r="K90" i="257"/>
  <c r="I90" i="257"/>
  <c r="G90" i="257"/>
  <c r="P89" i="257"/>
  <c r="O89" i="257"/>
  <c r="K89" i="257"/>
  <c r="I89" i="257"/>
  <c r="G89" i="257"/>
  <c r="P88" i="257"/>
  <c r="O88" i="257"/>
  <c r="K88" i="257"/>
  <c r="I88" i="257"/>
  <c r="G88" i="257"/>
  <c r="P87" i="257"/>
  <c r="O87" i="257"/>
  <c r="K87" i="257"/>
  <c r="I87" i="257"/>
  <c r="G87" i="257"/>
  <c r="P86" i="257"/>
  <c r="O86" i="257"/>
  <c r="K86" i="257"/>
  <c r="I86" i="257"/>
  <c r="G86" i="257"/>
  <c r="P85" i="257"/>
  <c r="O85" i="257"/>
  <c r="K85" i="257"/>
  <c r="I85" i="257"/>
  <c r="G85" i="257"/>
  <c r="P84" i="257"/>
  <c r="O84" i="257"/>
  <c r="K84" i="257"/>
  <c r="I84" i="257"/>
  <c r="G84" i="257"/>
  <c r="P83" i="257"/>
  <c r="O83" i="257"/>
  <c r="K83" i="257"/>
  <c r="I83" i="257"/>
  <c r="G83" i="257"/>
  <c r="P82" i="257"/>
  <c r="O82" i="257"/>
  <c r="K82" i="257"/>
  <c r="I82" i="257"/>
  <c r="G82" i="257"/>
  <c r="P81" i="257"/>
  <c r="O81" i="257"/>
  <c r="K81" i="257"/>
  <c r="I81" i="257"/>
  <c r="G81" i="257"/>
  <c r="P80" i="257"/>
  <c r="O80" i="257"/>
  <c r="K80" i="257"/>
  <c r="I80" i="257"/>
  <c r="G80" i="257"/>
  <c r="P79" i="257"/>
  <c r="O79" i="257"/>
  <c r="K79" i="257"/>
  <c r="I79" i="257"/>
  <c r="G79" i="257"/>
  <c r="P78" i="257"/>
  <c r="O78" i="257"/>
  <c r="K78" i="257"/>
  <c r="I78" i="257"/>
  <c r="G78" i="257"/>
  <c r="P77" i="257"/>
  <c r="O77" i="257"/>
  <c r="K77" i="257"/>
  <c r="I77" i="257"/>
  <c r="G77" i="257"/>
  <c r="P76" i="257"/>
  <c r="K76" i="257"/>
  <c r="I76" i="257"/>
  <c r="G76" i="257"/>
  <c r="P75" i="257"/>
  <c r="K75" i="257"/>
  <c r="I75" i="257"/>
  <c r="G75" i="257"/>
  <c r="P74" i="257"/>
  <c r="K74" i="257"/>
  <c r="I74" i="257"/>
  <c r="G74" i="257"/>
  <c r="P73" i="257"/>
  <c r="K73" i="257"/>
  <c r="I73" i="257"/>
  <c r="G73" i="257"/>
  <c r="P71" i="257"/>
  <c r="O71" i="257"/>
  <c r="K71" i="257"/>
  <c r="G71" i="257"/>
  <c r="P70" i="257"/>
  <c r="O70" i="257"/>
  <c r="N70" i="257"/>
  <c r="K70" i="257"/>
  <c r="G70" i="257"/>
  <c r="P69" i="257"/>
  <c r="O69" i="257"/>
  <c r="N69" i="257"/>
  <c r="K69" i="257"/>
  <c r="G69" i="257"/>
  <c r="N67" i="257"/>
  <c r="F66" i="257" a="1"/>
  <c r="F66" i="257" s="1"/>
  <c r="P65" i="257"/>
  <c r="K65" i="257"/>
  <c r="E65" i="257"/>
  <c r="O64" i="257"/>
  <c r="M64" i="257"/>
  <c r="L64" i="257"/>
  <c r="P64" i="257" s="1"/>
  <c r="K64" i="257"/>
  <c r="J64" i="257"/>
  <c r="H64" i="257"/>
  <c r="I64" i="257" s="1"/>
  <c r="E57" i="257"/>
  <c r="P57" i="257" s="1"/>
  <c r="O56" i="257"/>
  <c r="N56" i="257"/>
  <c r="L56" i="257"/>
  <c r="K56" i="257"/>
  <c r="H56" i="257"/>
  <c r="F56" i="257"/>
  <c r="P56" i="257" s="1"/>
  <c r="E56" i="257"/>
  <c r="P55" i="257"/>
  <c r="O55" i="257"/>
  <c r="N55" i="257"/>
  <c r="L55" i="257"/>
  <c r="K55" i="257"/>
  <c r="H55" i="257"/>
  <c r="F55" i="257"/>
  <c r="E55" i="257"/>
  <c r="O54" i="257"/>
  <c r="N54" i="257"/>
  <c r="L54" i="257"/>
  <c r="K54" i="257"/>
  <c r="H54" i="257"/>
  <c r="F54" i="257"/>
  <c r="P54" i="257" s="1"/>
  <c r="E54" i="257"/>
  <c r="O53" i="257"/>
  <c r="N53" i="257"/>
  <c r="L53" i="257"/>
  <c r="K53" i="257"/>
  <c r="H53" i="257"/>
  <c r="F53" i="257"/>
  <c r="P53" i="257" s="1"/>
  <c r="E53" i="257"/>
  <c r="P52" i="257"/>
  <c r="O52" i="257"/>
  <c r="N52" i="257"/>
  <c r="L52" i="257"/>
  <c r="K52" i="257"/>
  <c r="H52" i="257"/>
  <c r="F52" i="257"/>
  <c r="E52" i="257"/>
  <c r="O51" i="257"/>
  <c r="N51" i="257"/>
  <c r="L51" i="257"/>
  <c r="K51" i="257"/>
  <c r="H51" i="257"/>
  <c r="F51" i="257"/>
  <c r="P51" i="257" s="1"/>
  <c r="E51" i="257"/>
  <c r="O50" i="257"/>
  <c r="N50" i="257"/>
  <c r="L50" i="257"/>
  <c r="K50" i="257"/>
  <c r="H50" i="257"/>
  <c r="F50" i="257"/>
  <c r="P50" i="257" s="1"/>
  <c r="E50" i="257"/>
  <c r="P49" i="257"/>
  <c r="O49" i="257"/>
  <c r="N49" i="257"/>
  <c r="L49" i="257"/>
  <c r="K49" i="257"/>
  <c r="H49" i="257"/>
  <c r="F49" i="257"/>
  <c r="E49" i="257"/>
  <c r="O48" i="257"/>
  <c r="N48" i="257"/>
  <c r="L48" i="257"/>
  <c r="K48" i="257"/>
  <c r="H48" i="257"/>
  <c r="F48" i="257"/>
  <c r="P48" i="257" s="1"/>
  <c r="E48" i="257"/>
  <c r="O47" i="257"/>
  <c r="N47" i="257"/>
  <c r="L47" i="257"/>
  <c r="K47" i="257"/>
  <c r="H47" i="257"/>
  <c r="F47" i="257"/>
  <c r="P47" i="257" s="1"/>
  <c r="E47" i="257"/>
  <c r="P46" i="257"/>
  <c r="O46" i="257"/>
  <c r="N46" i="257"/>
  <c r="L46" i="257"/>
  <c r="K46" i="257"/>
  <c r="H46" i="257"/>
  <c r="F46" i="257"/>
  <c r="E46" i="257"/>
  <c r="O45" i="257"/>
  <c r="N45" i="257"/>
  <c r="L45" i="257"/>
  <c r="K45" i="257"/>
  <c r="H45" i="257"/>
  <c r="F45" i="257"/>
  <c r="P45" i="257" s="1"/>
  <c r="E45" i="257"/>
  <c r="O44" i="257"/>
  <c r="N44" i="257"/>
  <c r="L44" i="257"/>
  <c r="K44" i="257"/>
  <c r="H44" i="257"/>
  <c r="F44" i="257"/>
  <c r="P44" i="257" s="1"/>
  <c r="E44" i="257"/>
  <c r="O43" i="257"/>
  <c r="N43" i="257"/>
  <c r="L43" i="257"/>
  <c r="K43" i="257"/>
  <c r="H43" i="257"/>
  <c r="F43" i="257"/>
  <c r="P43" i="257" s="1"/>
  <c r="E43" i="257"/>
  <c r="O42" i="257"/>
  <c r="N42" i="257"/>
  <c r="L42" i="257"/>
  <c r="K42" i="257"/>
  <c r="H42" i="257"/>
  <c r="F42" i="257"/>
  <c r="P42" i="257" s="1"/>
  <c r="E42" i="257"/>
  <c r="O41" i="257"/>
  <c r="N41" i="257"/>
  <c r="L41" i="257"/>
  <c r="K41" i="257"/>
  <c r="H41" i="257"/>
  <c r="F41" i="257"/>
  <c r="P41" i="257" s="1"/>
  <c r="E41" i="257"/>
  <c r="O40" i="257"/>
  <c r="N40" i="257"/>
  <c r="L40" i="257"/>
  <c r="K40" i="257"/>
  <c r="H40" i="257"/>
  <c r="F40" i="257"/>
  <c r="P40" i="257" s="1"/>
  <c r="E40" i="257"/>
  <c r="O39" i="257"/>
  <c r="N39" i="257"/>
  <c r="L39" i="257"/>
  <c r="K39" i="257"/>
  <c r="H39" i="257"/>
  <c r="F39" i="257"/>
  <c r="P39" i="257" s="1"/>
  <c r="E39" i="257"/>
  <c r="O38" i="257"/>
  <c r="N38" i="257"/>
  <c r="L38" i="257"/>
  <c r="K38" i="257"/>
  <c r="H38" i="257"/>
  <c r="F38" i="257"/>
  <c r="P38" i="257" s="1"/>
  <c r="E38" i="257"/>
  <c r="O37" i="257"/>
  <c r="N37" i="257"/>
  <c r="L37" i="257"/>
  <c r="K37" i="257"/>
  <c r="H37" i="257"/>
  <c r="F37" i="257"/>
  <c r="P37" i="257" s="1"/>
  <c r="E37" i="257"/>
  <c r="O36" i="257"/>
  <c r="N36" i="257"/>
  <c r="L36" i="257"/>
  <c r="K36" i="257"/>
  <c r="H36" i="257"/>
  <c r="F36" i="257"/>
  <c r="P36" i="257" s="1"/>
  <c r="E36" i="257"/>
  <c r="O34" i="257"/>
  <c r="N34" i="257"/>
  <c r="K34" i="257"/>
  <c r="H34" i="257"/>
  <c r="F34" i="257"/>
  <c r="P34" i="257" s="1"/>
  <c r="E34" i="257"/>
  <c r="P33" i="257"/>
  <c r="O33" i="257"/>
  <c r="N33" i="257"/>
  <c r="K33" i="257"/>
  <c r="H33" i="257"/>
  <c r="F33" i="257"/>
  <c r="E33" i="257"/>
  <c r="O32" i="257"/>
  <c r="N32" i="257"/>
  <c r="K32" i="257"/>
  <c r="H32" i="257"/>
  <c r="F32" i="257"/>
  <c r="P32" i="257" s="1"/>
  <c r="E32" i="257"/>
  <c r="P31" i="257"/>
  <c r="O31" i="257"/>
  <c r="N31" i="257"/>
  <c r="K31" i="257"/>
  <c r="H31" i="257"/>
  <c r="F31" i="257"/>
  <c r="E31" i="257"/>
  <c r="O30" i="257"/>
  <c r="N30" i="257"/>
  <c r="K30" i="257"/>
  <c r="H30" i="257"/>
  <c r="F30" i="257"/>
  <c r="P30" i="257" s="1"/>
  <c r="E30" i="257"/>
  <c r="P28" i="257"/>
  <c r="J28" i="257"/>
  <c r="D28" i="257"/>
  <c r="L28" i="257" s="1"/>
  <c r="M28" i="257" s="1"/>
  <c r="C28" i="257"/>
  <c r="H28" i="257" s="1"/>
  <c r="I28" i="257" s="1"/>
  <c r="O28" i="257" s="1"/>
  <c r="A28" i="257"/>
  <c r="P27" i="257"/>
  <c r="J27" i="257"/>
  <c r="D27" i="257"/>
  <c r="L27" i="257" s="1"/>
  <c r="M27" i="257" s="1"/>
  <c r="C27" i="257"/>
  <c r="H27" i="257" s="1"/>
  <c r="I27" i="257" s="1"/>
  <c r="O27" i="257" s="1"/>
  <c r="A27" i="257"/>
  <c r="P26" i="257"/>
  <c r="J26" i="257"/>
  <c r="E26" i="257" a="1"/>
  <c r="E26" i="257" s="1"/>
  <c r="D26" i="257"/>
  <c r="L26" i="257" s="1"/>
  <c r="M26" i="257" s="1"/>
  <c r="C26" i="257"/>
  <c r="H26" i="257" s="1"/>
  <c r="I26" i="257" s="1"/>
  <c r="O26" i="257" s="1"/>
  <c r="P25" i="257"/>
  <c r="J25" i="257"/>
  <c r="E25" i="257" a="1"/>
  <c r="E25" i="257" s="1"/>
  <c r="D25" i="257"/>
  <c r="L25" i="257" s="1"/>
  <c r="M25" i="257" s="1"/>
  <c r="C25" i="257"/>
  <c r="F25" i="257" s="1"/>
  <c r="P24" i="257"/>
  <c r="J24" i="257"/>
  <c r="E24" i="257" a="1"/>
  <c r="E24" i="257" s="1"/>
  <c r="D24" i="257"/>
  <c r="L24" i="257" s="1"/>
  <c r="M24" i="257" s="1"/>
  <c r="C24" i="257"/>
  <c r="H24" i="257" s="1"/>
  <c r="I24" i="257" s="1"/>
  <c r="O24" i="257" s="1"/>
  <c r="P23" i="257"/>
  <c r="J23" i="257"/>
  <c r="E23" i="257" a="1"/>
  <c r="E23" i="257" s="1"/>
  <c r="D23" i="257"/>
  <c r="L23" i="257" s="1"/>
  <c r="M23" i="257" s="1"/>
  <c r="C23" i="257"/>
  <c r="H23" i="257" s="1"/>
  <c r="I23" i="257" s="1"/>
  <c r="O23" i="257" s="1"/>
  <c r="P22" i="257"/>
  <c r="J22" i="257"/>
  <c r="E22" i="257" a="1"/>
  <c r="E22" i="257" s="1"/>
  <c r="D22" i="257"/>
  <c r="L22" i="257" s="1"/>
  <c r="M22" i="257" s="1"/>
  <c r="C22" i="257"/>
  <c r="H22" i="257" s="1"/>
  <c r="I22" i="257" s="1"/>
  <c r="O22" i="257" s="1"/>
  <c r="P21" i="257"/>
  <c r="J21" i="257"/>
  <c r="E21" i="257" a="1"/>
  <c r="E21" i="257" s="1"/>
  <c r="D21" i="257"/>
  <c r="L21" i="257" s="1"/>
  <c r="M21" i="257" s="1"/>
  <c r="C21" i="257"/>
  <c r="H21" i="257" s="1"/>
  <c r="I21" i="257" s="1"/>
  <c r="O21" i="257" s="1"/>
  <c r="P20" i="257"/>
  <c r="J20" i="257"/>
  <c r="E20" i="257" a="1"/>
  <c r="E20" i="257" s="1"/>
  <c r="D20" i="257"/>
  <c r="L20" i="257" s="1"/>
  <c r="M20" i="257" s="1"/>
  <c r="C20" i="257"/>
  <c r="H20" i="257" s="1"/>
  <c r="I20" i="257" s="1"/>
  <c r="O20" i="257" s="1"/>
  <c r="P19" i="257"/>
  <c r="J19" i="257"/>
  <c r="E19" i="257" a="1"/>
  <c r="E19" i="257" s="1"/>
  <c r="D19" i="257"/>
  <c r="L19" i="257" s="1"/>
  <c r="M19" i="257" s="1"/>
  <c r="C19" i="257"/>
  <c r="F19" i="257" s="1"/>
  <c r="P17" i="257"/>
  <c r="N17" i="257"/>
  <c r="E17" i="257"/>
  <c r="P16" i="257"/>
  <c r="N16" i="257"/>
  <c r="E16" i="257"/>
  <c r="N15" i="257"/>
  <c r="J15" i="257"/>
  <c r="J16" i="257" s="1"/>
  <c r="E15" i="257"/>
  <c r="P15" i="257" s="1"/>
  <c r="S14" i="257"/>
  <c r="P14" i="257"/>
  <c r="P13" i="257"/>
  <c r="O13" i="257"/>
  <c r="P11" i="257"/>
  <c r="J11" i="257"/>
  <c r="P10" i="257"/>
  <c r="J10" i="257"/>
  <c r="E10" i="257"/>
  <c r="S9" i="257"/>
  <c r="O9" i="257"/>
  <c r="E9" i="257"/>
  <c r="P9" i="257" s="1"/>
  <c r="P8" i="257"/>
  <c r="J8" i="257"/>
  <c r="J9" i="257" s="1"/>
  <c r="L7" i="257"/>
  <c r="F7" i="257"/>
  <c r="E7" i="257" a="1"/>
  <c r="E7" i="257" s="1"/>
  <c r="P7" i="257" s="1" a="1"/>
  <c r="P7" i="257" s="1"/>
  <c r="X6" i="257"/>
  <c r="O92" i="257" s="1"/>
  <c r="V6" i="257"/>
  <c r="T6" i="257"/>
  <c r="R6" i="257"/>
  <c r="P5" i="257"/>
  <c r="N5" i="257"/>
  <c r="M5" i="257"/>
  <c r="K5" i="257"/>
  <c r="J5" i="257"/>
  <c r="J13" i="257" s="1"/>
  <c r="J14" i="257" s="1"/>
  <c r="U6" i="257" s="1"/>
  <c r="E5" i="257"/>
  <c r="N4" i="257"/>
  <c r="M4" i="257"/>
  <c r="J4" i="257"/>
  <c r="M11" i="257" s="1"/>
  <c r="S6" i="257" s="1"/>
  <c r="F4" i="257"/>
  <c r="E4" i="257"/>
  <c r="P90" i="256"/>
  <c r="O90" i="256"/>
  <c r="K90" i="256"/>
  <c r="I90" i="256"/>
  <c r="G90" i="256"/>
  <c r="P89" i="256"/>
  <c r="O89" i="256"/>
  <c r="K89" i="256"/>
  <c r="I89" i="256"/>
  <c r="G89" i="256"/>
  <c r="P88" i="256"/>
  <c r="O88" i="256"/>
  <c r="K88" i="256"/>
  <c r="I88" i="256"/>
  <c r="G88" i="256"/>
  <c r="P87" i="256"/>
  <c r="O87" i="256"/>
  <c r="K87" i="256"/>
  <c r="I87" i="256"/>
  <c r="G87" i="256"/>
  <c r="P86" i="256"/>
  <c r="O86" i="256"/>
  <c r="K86" i="256"/>
  <c r="I86" i="256"/>
  <c r="G86" i="256"/>
  <c r="P85" i="256"/>
  <c r="O85" i="256"/>
  <c r="K85" i="256"/>
  <c r="I85" i="256"/>
  <c r="G85" i="256"/>
  <c r="P84" i="256"/>
  <c r="O84" i="256"/>
  <c r="K84" i="256"/>
  <c r="I84" i="256"/>
  <c r="G84" i="256"/>
  <c r="P83" i="256"/>
  <c r="O83" i="256"/>
  <c r="K83" i="256"/>
  <c r="I83" i="256"/>
  <c r="G83" i="256"/>
  <c r="P82" i="256"/>
  <c r="O82" i="256"/>
  <c r="K82" i="256"/>
  <c r="I82" i="256"/>
  <c r="G82" i="256"/>
  <c r="P81" i="256"/>
  <c r="O81" i="256"/>
  <c r="K81" i="256"/>
  <c r="I81" i="256"/>
  <c r="G81" i="256"/>
  <c r="P80" i="256"/>
  <c r="O80" i="256"/>
  <c r="K80" i="256"/>
  <c r="I80" i="256"/>
  <c r="G80" i="256"/>
  <c r="P79" i="256"/>
  <c r="O79" i="256"/>
  <c r="K79" i="256"/>
  <c r="I79" i="256"/>
  <c r="G79" i="256"/>
  <c r="P78" i="256"/>
  <c r="O78" i="256"/>
  <c r="K78" i="256"/>
  <c r="I78" i="256"/>
  <c r="G78" i="256"/>
  <c r="P77" i="256"/>
  <c r="O77" i="256"/>
  <c r="K77" i="256"/>
  <c r="I77" i="256"/>
  <c r="G77" i="256"/>
  <c r="P76" i="256"/>
  <c r="O76" i="256"/>
  <c r="K76" i="256"/>
  <c r="I76" i="256"/>
  <c r="G76" i="256"/>
  <c r="P75" i="256"/>
  <c r="K75" i="256"/>
  <c r="I75" i="256"/>
  <c r="G75" i="256"/>
  <c r="P74" i="256"/>
  <c r="K74" i="256"/>
  <c r="I74" i="256"/>
  <c r="G74" i="256"/>
  <c r="P73" i="256"/>
  <c r="K73" i="256"/>
  <c r="I73" i="256"/>
  <c r="G73" i="256"/>
  <c r="P71" i="256"/>
  <c r="O71" i="256"/>
  <c r="K71" i="256"/>
  <c r="G71" i="256"/>
  <c r="P70" i="256"/>
  <c r="O70" i="256"/>
  <c r="N70" i="256"/>
  <c r="K70" i="256"/>
  <c r="G70" i="256"/>
  <c r="P69" i="256"/>
  <c r="O69" i="256"/>
  <c r="N69" i="256"/>
  <c r="K69" i="256"/>
  <c r="G69" i="256"/>
  <c r="N67" i="256"/>
  <c r="H66" i="256"/>
  <c r="S13" i="256" s="1"/>
  <c r="F66" i="256" a="1"/>
  <c r="F66" i="256" s="1"/>
  <c r="P65" i="256"/>
  <c r="K65" i="256"/>
  <c r="E65" i="256"/>
  <c r="O64" i="256"/>
  <c r="M64" i="256"/>
  <c r="L64" i="256"/>
  <c r="P64" i="256" s="1"/>
  <c r="K64" i="256"/>
  <c r="J64" i="256"/>
  <c r="H64" i="256"/>
  <c r="I64" i="256" s="1"/>
  <c r="E64" i="256"/>
  <c r="E57" i="256"/>
  <c r="P57" i="256" s="1"/>
  <c r="O56" i="256"/>
  <c r="N56" i="256"/>
  <c r="L56" i="256"/>
  <c r="K56" i="256"/>
  <c r="H56" i="256"/>
  <c r="F56" i="256"/>
  <c r="P56" i="256" s="1"/>
  <c r="E56" i="256"/>
  <c r="P55" i="256"/>
  <c r="O55" i="256"/>
  <c r="N55" i="256"/>
  <c r="L55" i="256"/>
  <c r="K55" i="256"/>
  <c r="H55" i="256"/>
  <c r="F55" i="256"/>
  <c r="E55" i="256"/>
  <c r="O54" i="256"/>
  <c r="N54" i="256"/>
  <c r="L54" i="256"/>
  <c r="K54" i="256"/>
  <c r="H54" i="256"/>
  <c r="F54" i="256"/>
  <c r="P54" i="256" s="1"/>
  <c r="E54" i="256"/>
  <c r="O53" i="256"/>
  <c r="N53" i="256"/>
  <c r="L53" i="256"/>
  <c r="K53" i="256"/>
  <c r="H53" i="256"/>
  <c r="F53" i="256"/>
  <c r="P53" i="256" s="1"/>
  <c r="E53" i="256"/>
  <c r="O52" i="256"/>
  <c r="N52" i="256"/>
  <c r="L52" i="256"/>
  <c r="K52" i="256"/>
  <c r="H52" i="256"/>
  <c r="F52" i="256"/>
  <c r="P52" i="256" s="1"/>
  <c r="E52" i="256"/>
  <c r="O51" i="256"/>
  <c r="N51" i="256"/>
  <c r="L51" i="256"/>
  <c r="K51" i="256"/>
  <c r="H51" i="256"/>
  <c r="F51" i="256"/>
  <c r="P51" i="256" s="1"/>
  <c r="E51" i="256"/>
  <c r="O50" i="256"/>
  <c r="N50" i="256"/>
  <c r="L50" i="256"/>
  <c r="K50" i="256"/>
  <c r="H50" i="256"/>
  <c r="F50" i="256"/>
  <c r="P50" i="256" s="1"/>
  <c r="E50" i="256"/>
  <c r="O49" i="256"/>
  <c r="N49" i="256"/>
  <c r="L49" i="256"/>
  <c r="K49" i="256"/>
  <c r="H49" i="256"/>
  <c r="F49" i="256"/>
  <c r="P49" i="256" s="1"/>
  <c r="E49" i="256"/>
  <c r="O48" i="256"/>
  <c r="N48" i="256"/>
  <c r="L48" i="256"/>
  <c r="K48" i="256"/>
  <c r="H48" i="256"/>
  <c r="F48" i="256"/>
  <c r="P48" i="256" s="1"/>
  <c r="E48" i="256"/>
  <c r="O47" i="256"/>
  <c r="N47" i="256"/>
  <c r="L47" i="256"/>
  <c r="K47" i="256"/>
  <c r="H47" i="256"/>
  <c r="F47" i="256"/>
  <c r="P47" i="256" s="1"/>
  <c r="E47" i="256"/>
  <c r="O46" i="256"/>
  <c r="N46" i="256"/>
  <c r="L46" i="256"/>
  <c r="K46" i="256"/>
  <c r="H46" i="256"/>
  <c r="F46" i="256"/>
  <c r="P46" i="256" s="1"/>
  <c r="E46" i="256"/>
  <c r="O45" i="256"/>
  <c r="N45" i="256"/>
  <c r="L45" i="256"/>
  <c r="K45" i="256"/>
  <c r="H45" i="256"/>
  <c r="F45" i="256"/>
  <c r="P45" i="256" s="1"/>
  <c r="E45" i="256"/>
  <c r="O44" i="256"/>
  <c r="N44" i="256"/>
  <c r="L44" i="256"/>
  <c r="K44" i="256"/>
  <c r="H44" i="256"/>
  <c r="F44" i="256"/>
  <c r="P44" i="256" s="1"/>
  <c r="E44" i="256"/>
  <c r="P43" i="256"/>
  <c r="O43" i="256"/>
  <c r="N43" i="256"/>
  <c r="L43" i="256"/>
  <c r="K43" i="256"/>
  <c r="H43" i="256"/>
  <c r="F43" i="256"/>
  <c r="E43" i="256"/>
  <c r="O42" i="256"/>
  <c r="N42" i="256"/>
  <c r="L42" i="256"/>
  <c r="K42" i="256"/>
  <c r="H42" i="256"/>
  <c r="F42" i="256"/>
  <c r="P42" i="256" s="1"/>
  <c r="E42" i="256"/>
  <c r="O41" i="256"/>
  <c r="N41" i="256"/>
  <c r="L41" i="256"/>
  <c r="K41" i="256"/>
  <c r="H41" i="256"/>
  <c r="F41" i="256"/>
  <c r="P41" i="256" s="1"/>
  <c r="E41" i="256"/>
  <c r="O40" i="256"/>
  <c r="N40" i="256"/>
  <c r="L40" i="256"/>
  <c r="K40" i="256"/>
  <c r="H40" i="256"/>
  <c r="F40" i="256"/>
  <c r="P40" i="256" s="1"/>
  <c r="E40" i="256"/>
  <c r="O39" i="256"/>
  <c r="N39" i="256"/>
  <c r="L39" i="256"/>
  <c r="K39" i="256"/>
  <c r="H39" i="256"/>
  <c r="F39" i="256"/>
  <c r="P39" i="256" s="1"/>
  <c r="E39" i="256"/>
  <c r="O38" i="256"/>
  <c r="N38" i="256"/>
  <c r="L38" i="256"/>
  <c r="K38" i="256"/>
  <c r="H38" i="256"/>
  <c r="E38" i="256"/>
  <c r="O37" i="256"/>
  <c r="N37" i="256"/>
  <c r="L37" i="256"/>
  <c r="K37" i="256"/>
  <c r="H37" i="256"/>
  <c r="F37" i="256"/>
  <c r="P37" i="256" s="1"/>
  <c r="E37" i="256"/>
  <c r="O36" i="256"/>
  <c r="N36" i="256"/>
  <c r="L36" i="256"/>
  <c r="K36" i="256"/>
  <c r="H36" i="256"/>
  <c r="F36" i="256"/>
  <c r="P36" i="256" s="1"/>
  <c r="E36" i="256"/>
  <c r="O34" i="256"/>
  <c r="N34" i="256"/>
  <c r="K34" i="256"/>
  <c r="H34" i="256"/>
  <c r="F34" i="256"/>
  <c r="P34" i="256" s="1"/>
  <c r="E34" i="256"/>
  <c r="O33" i="256"/>
  <c r="N33" i="256"/>
  <c r="K33" i="256"/>
  <c r="H33" i="256"/>
  <c r="F33" i="256"/>
  <c r="P33" i="256" s="1"/>
  <c r="E33" i="256"/>
  <c r="O32" i="256"/>
  <c r="N32" i="256"/>
  <c r="K32" i="256"/>
  <c r="H32" i="256"/>
  <c r="F32" i="256"/>
  <c r="P32" i="256" s="1"/>
  <c r="E32" i="256"/>
  <c r="O31" i="256"/>
  <c r="N31" i="256"/>
  <c r="K31" i="256"/>
  <c r="H31" i="256"/>
  <c r="F31" i="256"/>
  <c r="P31" i="256" s="1"/>
  <c r="E31" i="256"/>
  <c r="O30" i="256"/>
  <c r="N30" i="256"/>
  <c r="K30" i="256"/>
  <c r="H30" i="256"/>
  <c r="F30" i="256"/>
  <c r="P30" i="256" s="1"/>
  <c r="E30" i="256"/>
  <c r="P28" i="256"/>
  <c r="J28" i="256"/>
  <c r="D28" i="256"/>
  <c r="L28" i="256" s="1"/>
  <c r="M28" i="256" s="1"/>
  <c r="C28" i="256"/>
  <c r="F28" i="256" s="1"/>
  <c r="A28" i="256"/>
  <c r="P27" i="256"/>
  <c r="J27" i="256"/>
  <c r="D27" i="256"/>
  <c r="L27" i="256" s="1"/>
  <c r="M27" i="256" s="1"/>
  <c r="C27" i="256"/>
  <c r="H27" i="256" s="1"/>
  <c r="I27" i="256" s="1"/>
  <c r="O27" i="256" s="1"/>
  <c r="A27" i="256"/>
  <c r="P26" i="256"/>
  <c r="J26" i="256"/>
  <c r="E26" i="256" a="1"/>
  <c r="E26" i="256" s="1"/>
  <c r="D26" i="256"/>
  <c r="L26" i="256" s="1"/>
  <c r="M26" i="256" s="1"/>
  <c r="C26" i="256"/>
  <c r="H26" i="256" s="1"/>
  <c r="I26" i="256" s="1"/>
  <c r="O26" i="256" s="1"/>
  <c r="P25" i="256"/>
  <c r="J25" i="256"/>
  <c r="E25" i="256" a="1"/>
  <c r="E25" i="256" s="1"/>
  <c r="D25" i="256"/>
  <c r="L25" i="256" s="1"/>
  <c r="M25" i="256" s="1"/>
  <c r="C25" i="256"/>
  <c r="H25" i="256" s="1"/>
  <c r="I25" i="256" s="1"/>
  <c r="O25" i="256" s="1"/>
  <c r="P24" i="256"/>
  <c r="J24" i="256"/>
  <c r="E24" i="256" a="1"/>
  <c r="E24" i="256" s="1"/>
  <c r="D24" i="256"/>
  <c r="L24" i="256" s="1"/>
  <c r="M24" i="256" s="1"/>
  <c r="C24" i="256"/>
  <c r="H24" i="256" s="1"/>
  <c r="I24" i="256" s="1"/>
  <c r="O24" i="256" s="1"/>
  <c r="P23" i="256"/>
  <c r="J23" i="256"/>
  <c r="E23" i="256" a="1"/>
  <c r="E23" i="256" s="1"/>
  <c r="D23" i="256"/>
  <c r="L23" i="256" s="1"/>
  <c r="M23" i="256" s="1"/>
  <c r="C23" i="256"/>
  <c r="H23" i="256" s="1"/>
  <c r="I23" i="256" s="1"/>
  <c r="O23" i="256" s="1"/>
  <c r="P22" i="256"/>
  <c r="J22" i="256"/>
  <c r="E22" i="256" a="1"/>
  <c r="E22" i="256" s="1"/>
  <c r="D22" i="256"/>
  <c r="L22" i="256" s="1"/>
  <c r="M22" i="256" s="1"/>
  <c r="C22" i="256"/>
  <c r="H22" i="256" s="1"/>
  <c r="I22" i="256" s="1"/>
  <c r="O22" i="256" s="1"/>
  <c r="P21" i="256"/>
  <c r="J21" i="256"/>
  <c r="E21" i="256" a="1"/>
  <c r="E21" i="256" s="1"/>
  <c r="D21" i="256"/>
  <c r="L21" i="256" s="1"/>
  <c r="M21" i="256" s="1"/>
  <c r="C21" i="256"/>
  <c r="H21" i="256" s="1"/>
  <c r="I21" i="256" s="1"/>
  <c r="O21" i="256" s="1"/>
  <c r="P20" i="256"/>
  <c r="J20" i="256"/>
  <c r="D20" i="256"/>
  <c r="L20" i="256" s="1"/>
  <c r="M20" i="256" s="1"/>
  <c r="C20" i="256"/>
  <c r="H20" i="256" s="1"/>
  <c r="I20" i="256" s="1"/>
  <c r="O20" i="256" s="1"/>
  <c r="P19" i="256"/>
  <c r="J19" i="256"/>
  <c r="D19" i="256"/>
  <c r="L19" i="256" s="1"/>
  <c r="M19" i="256" s="1"/>
  <c r="C19" i="256"/>
  <c r="H19" i="256" s="1"/>
  <c r="N17" i="256"/>
  <c r="E17" i="256"/>
  <c r="P17" i="256" s="1"/>
  <c r="P16" i="256"/>
  <c r="N16" i="256"/>
  <c r="E16" i="256"/>
  <c r="N15" i="256"/>
  <c r="J15" i="256"/>
  <c r="J16" i="256" s="1"/>
  <c r="E15" i="256"/>
  <c r="P15" i="256" s="1"/>
  <c r="S14" i="256"/>
  <c r="P13" i="256"/>
  <c r="O13" i="256"/>
  <c r="J13" i="256"/>
  <c r="J14" i="256" s="1"/>
  <c r="U6" i="256" s="1"/>
  <c r="P11" i="256"/>
  <c r="J11" i="256"/>
  <c r="P10" i="256"/>
  <c r="J10" i="256"/>
  <c r="E10" i="256"/>
  <c r="O9" i="256"/>
  <c r="S9" i="256"/>
  <c r="J8" i="256"/>
  <c r="J9" i="256" s="1"/>
  <c r="L7" i="256"/>
  <c r="F7" i="256"/>
  <c r="X6" i="256"/>
  <c r="O92" i="256" s="1"/>
  <c r="V6" i="256"/>
  <c r="T6" i="256"/>
  <c r="R6" i="256"/>
  <c r="P5" i="256"/>
  <c r="P8" i="256" s="1"/>
  <c r="N5" i="256"/>
  <c r="M5" i="256"/>
  <c r="K5" i="256"/>
  <c r="J5" i="256"/>
  <c r="E5" i="256"/>
  <c r="N4" i="256"/>
  <c r="M4" i="256"/>
  <c r="J4" i="256"/>
  <c r="F4" i="256"/>
  <c r="E4" i="256"/>
  <c r="E9" i="256" s="1"/>
  <c r="P9" i="256" s="1"/>
  <c r="P90" i="254"/>
  <c r="O90" i="254"/>
  <c r="K90" i="254"/>
  <c r="I90" i="254"/>
  <c r="G90" i="254"/>
  <c r="P89" i="254"/>
  <c r="O89" i="254"/>
  <c r="K89" i="254"/>
  <c r="I89" i="254"/>
  <c r="G89" i="254"/>
  <c r="P88" i="254"/>
  <c r="O88" i="254"/>
  <c r="K88" i="254"/>
  <c r="I88" i="254"/>
  <c r="G88" i="254"/>
  <c r="P87" i="254"/>
  <c r="O87" i="254"/>
  <c r="K87" i="254"/>
  <c r="I87" i="254"/>
  <c r="G87" i="254"/>
  <c r="P86" i="254"/>
  <c r="O86" i="254"/>
  <c r="K86" i="254"/>
  <c r="I86" i="254"/>
  <c r="G86" i="254"/>
  <c r="P85" i="254"/>
  <c r="O85" i="254"/>
  <c r="K85" i="254"/>
  <c r="I85" i="254"/>
  <c r="G85" i="254"/>
  <c r="P84" i="254"/>
  <c r="O84" i="254"/>
  <c r="K84" i="254"/>
  <c r="I84" i="254"/>
  <c r="G84" i="254"/>
  <c r="P83" i="254"/>
  <c r="O83" i="254"/>
  <c r="K83" i="254"/>
  <c r="I83" i="254"/>
  <c r="G83" i="254"/>
  <c r="P82" i="254"/>
  <c r="O82" i="254"/>
  <c r="K82" i="254"/>
  <c r="I82" i="254"/>
  <c r="G82" i="254"/>
  <c r="P81" i="254"/>
  <c r="O81" i="254"/>
  <c r="K81" i="254"/>
  <c r="I81" i="254"/>
  <c r="G81" i="254"/>
  <c r="P80" i="254"/>
  <c r="O80" i="254"/>
  <c r="K80" i="254"/>
  <c r="I80" i="254"/>
  <c r="G80" i="254"/>
  <c r="P79" i="254"/>
  <c r="O79" i="254"/>
  <c r="K79" i="254"/>
  <c r="I79" i="254"/>
  <c r="G79" i="254"/>
  <c r="P78" i="254"/>
  <c r="O78" i="254"/>
  <c r="K78" i="254"/>
  <c r="I78" i="254"/>
  <c r="G78" i="254"/>
  <c r="P77" i="254"/>
  <c r="K77" i="254"/>
  <c r="I77" i="254"/>
  <c r="G77" i="254"/>
  <c r="P76" i="254"/>
  <c r="K76" i="254"/>
  <c r="I76" i="254"/>
  <c r="G76" i="254"/>
  <c r="P75" i="254"/>
  <c r="K75" i="254"/>
  <c r="I75" i="254"/>
  <c r="G75" i="254"/>
  <c r="P74" i="254"/>
  <c r="K74" i="254"/>
  <c r="I74" i="254"/>
  <c r="G74" i="254"/>
  <c r="P73" i="254"/>
  <c r="K73" i="254"/>
  <c r="I73" i="254"/>
  <c r="G73" i="254"/>
  <c r="P71" i="254"/>
  <c r="O71" i="254"/>
  <c r="K71" i="254"/>
  <c r="G71" i="254"/>
  <c r="P70" i="254"/>
  <c r="O70" i="254"/>
  <c r="N70" i="254"/>
  <c r="K70" i="254"/>
  <c r="G70" i="254"/>
  <c r="P69" i="254"/>
  <c r="O69" i="254"/>
  <c r="N69" i="254"/>
  <c r="K69" i="254"/>
  <c r="G69" i="254"/>
  <c r="N67" i="254"/>
  <c r="F66" i="254" a="1"/>
  <c r="F66" i="254" s="1"/>
  <c r="P65" i="254"/>
  <c r="K65" i="254"/>
  <c r="E65" i="254"/>
  <c r="O64" i="254"/>
  <c r="M64" i="254"/>
  <c r="L64" i="254"/>
  <c r="K64" i="254"/>
  <c r="J64" i="254"/>
  <c r="H64" i="254"/>
  <c r="I64" i="254" s="1"/>
  <c r="E57" i="254"/>
  <c r="P57" i="254" s="1"/>
  <c r="O56" i="254"/>
  <c r="N56" i="254"/>
  <c r="L56" i="254"/>
  <c r="K56" i="254"/>
  <c r="H56" i="254"/>
  <c r="F56" i="254"/>
  <c r="P56" i="254" s="1"/>
  <c r="E56" i="254"/>
  <c r="P55" i="254"/>
  <c r="O55" i="254"/>
  <c r="N55" i="254"/>
  <c r="L55" i="254"/>
  <c r="K55" i="254"/>
  <c r="H55" i="254"/>
  <c r="F55" i="254"/>
  <c r="E55" i="254"/>
  <c r="O54" i="254"/>
  <c r="N54" i="254"/>
  <c r="L54" i="254"/>
  <c r="K54" i="254"/>
  <c r="H54" i="254"/>
  <c r="F54" i="254"/>
  <c r="P54" i="254" s="1"/>
  <c r="E54" i="254"/>
  <c r="O53" i="254"/>
  <c r="N53" i="254"/>
  <c r="L53" i="254"/>
  <c r="K53" i="254"/>
  <c r="H53" i="254"/>
  <c r="F53" i="254"/>
  <c r="P53" i="254" s="1"/>
  <c r="E53" i="254"/>
  <c r="O52" i="254"/>
  <c r="N52" i="254"/>
  <c r="L52" i="254"/>
  <c r="K52" i="254"/>
  <c r="H52" i="254"/>
  <c r="F52" i="254"/>
  <c r="P52" i="254" s="1"/>
  <c r="E52" i="254"/>
  <c r="O51" i="254"/>
  <c r="N51" i="254"/>
  <c r="L51" i="254"/>
  <c r="K51" i="254"/>
  <c r="H51" i="254"/>
  <c r="F51" i="254"/>
  <c r="P51" i="254" s="1"/>
  <c r="E51" i="254"/>
  <c r="O50" i="254"/>
  <c r="N50" i="254"/>
  <c r="L50" i="254"/>
  <c r="K50" i="254"/>
  <c r="H50" i="254"/>
  <c r="F50" i="254"/>
  <c r="P50" i="254" s="1"/>
  <c r="E50" i="254"/>
  <c r="O49" i="254"/>
  <c r="N49" i="254"/>
  <c r="L49" i="254"/>
  <c r="K49" i="254"/>
  <c r="H49" i="254"/>
  <c r="F49" i="254"/>
  <c r="P49" i="254" s="1"/>
  <c r="E49" i="254"/>
  <c r="O48" i="254"/>
  <c r="N48" i="254"/>
  <c r="L48" i="254"/>
  <c r="K48" i="254"/>
  <c r="H48" i="254"/>
  <c r="F48" i="254"/>
  <c r="P48" i="254" s="1"/>
  <c r="E48" i="254"/>
  <c r="O47" i="254"/>
  <c r="N47" i="254"/>
  <c r="L47" i="254"/>
  <c r="K47" i="254"/>
  <c r="H47" i="254"/>
  <c r="F47" i="254"/>
  <c r="P47" i="254" s="1"/>
  <c r="E47" i="254"/>
  <c r="O46" i="254"/>
  <c r="N46" i="254"/>
  <c r="L46" i="254"/>
  <c r="K46" i="254"/>
  <c r="H46" i="254"/>
  <c r="F46" i="254"/>
  <c r="P46" i="254" s="1"/>
  <c r="E46" i="254"/>
  <c r="O45" i="254"/>
  <c r="N45" i="254"/>
  <c r="L45" i="254"/>
  <c r="K45" i="254"/>
  <c r="H45" i="254"/>
  <c r="F45" i="254"/>
  <c r="P45" i="254" s="1"/>
  <c r="E45" i="254"/>
  <c r="O44" i="254"/>
  <c r="N44" i="254"/>
  <c r="L44" i="254"/>
  <c r="K44" i="254"/>
  <c r="H44" i="254"/>
  <c r="F44" i="254"/>
  <c r="P44" i="254" s="1"/>
  <c r="E44" i="254"/>
  <c r="O43" i="254"/>
  <c r="N43" i="254"/>
  <c r="L43" i="254"/>
  <c r="K43" i="254"/>
  <c r="H43" i="254"/>
  <c r="F43" i="254"/>
  <c r="P43" i="254" s="1"/>
  <c r="E43" i="254"/>
  <c r="O42" i="254"/>
  <c r="N42" i="254"/>
  <c r="L42" i="254"/>
  <c r="K42" i="254"/>
  <c r="H42" i="254"/>
  <c r="F42" i="254"/>
  <c r="P42" i="254" s="1"/>
  <c r="E42" i="254"/>
  <c r="O41" i="254"/>
  <c r="N41" i="254"/>
  <c r="L41" i="254"/>
  <c r="K41" i="254"/>
  <c r="H41" i="254"/>
  <c r="F41" i="254"/>
  <c r="P41" i="254" s="1"/>
  <c r="E41" i="254"/>
  <c r="O40" i="254"/>
  <c r="N40" i="254"/>
  <c r="L40" i="254"/>
  <c r="K40" i="254"/>
  <c r="H40" i="254"/>
  <c r="F40" i="254"/>
  <c r="P40" i="254" s="1"/>
  <c r="E40" i="254"/>
  <c r="O39" i="254"/>
  <c r="N39" i="254"/>
  <c r="L39" i="254"/>
  <c r="K39" i="254"/>
  <c r="H39" i="254"/>
  <c r="F39" i="254"/>
  <c r="P39" i="254" s="1"/>
  <c r="E39" i="254"/>
  <c r="O38" i="254"/>
  <c r="N38" i="254"/>
  <c r="L38" i="254"/>
  <c r="K38" i="254"/>
  <c r="H38" i="254"/>
  <c r="E38" i="254"/>
  <c r="O37" i="254"/>
  <c r="N37" i="254"/>
  <c r="L37" i="254"/>
  <c r="K37" i="254"/>
  <c r="H37" i="254"/>
  <c r="F37" i="254"/>
  <c r="P37" i="254" s="1"/>
  <c r="E37" i="254"/>
  <c r="O36" i="254"/>
  <c r="N36" i="254"/>
  <c r="L36" i="254"/>
  <c r="K36" i="254"/>
  <c r="H36" i="254"/>
  <c r="F36" i="254"/>
  <c r="P36" i="254" s="1"/>
  <c r="E36" i="254"/>
  <c r="O34" i="254"/>
  <c r="N34" i="254"/>
  <c r="K34" i="254"/>
  <c r="H34" i="254"/>
  <c r="F34" i="254"/>
  <c r="P34" i="254" s="1"/>
  <c r="E34" i="254"/>
  <c r="O33" i="254"/>
  <c r="N33" i="254"/>
  <c r="K33" i="254"/>
  <c r="H33" i="254"/>
  <c r="F33" i="254"/>
  <c r="P33" i="254" s="1"/>
  <c r="E33" i="254"/>
  <c r="O32" i="254"/>
  <c r="N32" i="254"/>
  <c r="K32" i="254"/>
  <c r="H32" i="254"/>
  <c r="F32" i="254"/>
  <c r="P32" i="254" s="1"/>
  <c r="E32" i="254"/>
  <c r="O31" i="254"/>
  <c r="N31" i="254"/>
  <c r="K31" i="254"/>
  <c r="H31" i="254"/>
  <c r="F31" i="254"/>
  <c r="P31" i="254" s="1"/>
  <c r="E31" i="254"/>
  <c r="O30" i="254"/>
  <c r="N30" i="254"/>
  <c r="K30" i="254"/>
  <c r="H30" i="254"/>
  <c r="F30" i="254"/>
  <c r="P30" i="254" s="1"/>
  <c r="E30" i="254"/>
  <c r="P28" i="254"/>
  <c r="J28" i="254"/>
  <c r="D28" i="254"/>
  <c r="L28" i="254" s="1"/>
  <c r="M28" i="254" s="1"/>
  <c r="C28" i="254"/>
  <c r="H28" i="254" s="1"/>
  <c r="I28" i="254" s="1"/>
  <c r="O28" i="254" s="1"/>
  <c r="A28" i="254"/>
  <c r="P27" i="254"/>
  <c r="J27" i="254"/>
  <c r="D27" i="254"/>
  <c r="L27" i="254" s="1"/>
  <c r="M27" i="254" s="1"/>
  <c r="C27" i="254"/>
  <c r="F27" i="254" s="1"/>
  <c r="A27" i="254"/>
  <c r="P26" i="254"/>
  <c r="J26" i="254"/>
  <c r="E26" i="254" a="1"/>
  <c r="E26" i="254" s="1"/>
  <c r="D26" i="254"/>
  <c r="L26" i="254" s="1"/>
  <c r="M26" i="254" s="1"/>
  <c r="C26" i="254"/>
  <c r="H26" i="254" s="1"/>
  <c r="I26" i="254" s="1"/>
  <c r="O26" i="254" s="1"/>
  <c r="P25" i="254"/>
  <c r="J25" i="254"/>
  <c r="E25" i="254" a="1"/>
  <c r="E25" i="254" s="1"/>
  <c r="D25" i="254"/>
  <c r="L25" i="254" s="1"/>
  <c r="M25" i="254" s="1"/>
  <c r="C25" i="254"/>
  <c r="H25" i="254" s="1"/>
  <c r="I25" i="254" s="1"/>
  <c r="O25" i="254" s="1"/>
  <c r="P24" i="254"/>
  <c r="J24" i="254"/>
  <c r="E24" i="254" a="1"/>
  <c r="E24" i="254" s="1"/>
  <c r="D24" i="254"/>
  <c r="L24" i="254" s="1"/>
  <c r="M24" i="254" s="1"/>
  <c r="C24" i="254"/>
  <c r="H24" i="254" s="1"/>
  <c r="I24" i="254" s="1"/>
  <c r="O24" i="254" s="1"/>
  <c r="P23" i="254"/>
  <c r="J23" i="254"/>
  <c r="E23" i="254" a="1"/>
  <c r="E23" i="254" s="1"/>
  <c r="D23" i="254"/>
  <c r="L23" i="254" s="1"/>
  <c r="M23" i="254" s="1"/>
  <c r="C23" i="254"/>
  <c r="H23" i="254" s="1"/>
  <c r="I23" i="254" s="1"/>
  <c r="O23" i="254" s="1"/>
  <c r="P22" i="254"/>
  <c r="J22" i="254"/>
  <c r="E22" i="254" a="1"/>
  <c r="E22" i="254" s="1"/>
  <c r="D22" i="254"/>
  <c r="L22" i="254" s="1"/>
  <c r="M22" i="254" s="1"/>
  <c r="C22" i="254"/>
  <c r="H22" i="254" s="1"/>
  <c r="I22" i="254" s="1"/>
  <c r="O22" i="254" s="1"/>
  <c r="P21" i="254"/>
  <c r="J21" i="254"/>
  <c r="E21" i="254" a="1"/>
  <c r="E21" i="254" s="1"/>
  <c r="D21" i="254"/>
  <c r="L21" i="254" s="1"/>
  <c r="M21" i="254" s="1"/>
  <c r="C21" i="254"/>
  <c r="H21" i="254" s="1"/>
  <c r="I21" i="254" s="1"/>
  <c r="O21" i="254" s="1"/>
  <c r="J20" i="254"/>
  <c r="D20" i="254"/>
  <c r="L20" i="254" s="1"/>
  <c r="M20" i="254" s="1"/>
  <c r="C20" i="254"/>
  <c r="H20" i="254" s="1"/>
  <c r="I20" i="254" s="1"/>
  <c r="O20" i="254" s="1"/>
  <c r="J19" i="254"/>
  <c r="D19" i="254"/>
  <c r="L19" i="254" s="1"/>
  <c r="M19" i="254" s="1"/>
  <c r="C19" i="254"/>
  <c r="H19" i="254" s="1"/>
  <c r="N17" i="254"/>
  <c r="E17" i="254"/>
  <c r="P17" i="254" s="1"/>
  <c r="P16" i="254"/>
  <c r="N16" i="254"/>
  <c r="E16" i="254"/>
  <c r="N15" i="254"/>
  <c r="J15" i="254"/>
  <c r="J16" i="254" s="1"/>
  <c r="E15" i="254"/>
  <c r="P15" i="254" s="1"/>
  <c r="S14" i="254"/>
  <c r="P13" i="254"/>
  <c r="O13" i="254"/>
  <c r="J13" i="254"/>
  <c r="J14" i="254" s="1"/>
  <c r="U6" i="254" s="1"/>
  <c r="P11" i="254"/>
  <c r="J11" i="254"/>
  <c r="J10" i="254"/>
  <c r="E10" i="254"/>
  <c r="O9" i="254"/>
  <c r="S9" i="254"/>
  <c r="J8" i="254"/>
  <c r="J9" i="254" s="1"/>
  <c r="L7" i="254"/>
  <c r="F7" i="254"/>
  <c r="X6" i="254"/>
  <c r="O92" i="254" s="1"/>
  <c r="V6" i="254"/>
  <c r="T6" i="254"/>
  <c r="R6" i="254"/>
  <c r="P5" i="254"/>
  <c r="P14" i="254" s="1"/>
  <c r="N5" i="254"/>
  <c r="M5" i="254"/>
  <c r="K5" i="254"/>
  <c r="J5" i="254"/>
  <c r="E5" i="254"/>
  <c r="N4" i="254"/>
  <c r="M4" i="254"/>
  <c r="J4" i="254"/>
  <c r="F4" i="254"/>
  <c r="E4" i="254"/>
  <c r="E9" i="254" s="1"/>
  <c r="P9" i="254" s="1"/>
  <c r="P90" i="253"/>
  <c r="O90" i="253"/>
  <c r="K90" i="253"/>
  <c r="I90" i="253"/>
  <c r="G90" i="253"/>
  <c r="P89" i="253"/>
  <c r="O89" i="253"/>
  <c r="K89" i="253"/>
  <c r="I89" i="253"/>
  <c r="G89" i="253"/>
  <c r="P88" i="253"/>
  <c r="O88" i="253"/>
  <c r="K88" i="253"/>
  <c r="I88" i="253"/>
  <c r="G88" i="253"/>
  <c r="P87" i="253"/>
  <c r="O87" i="253"/>
  <c r="K87" i="253"/>
  <c r="I87" i="253"/>
  <c r="G87" i="253"/>
  <c r="P86" i="253"/>
  <c r="O86" i="253"/>
  <c r="K86" i="253"/>
  <c r="I86" i="253"/>
  <c r="G86" i="253"/>
  <c r="P85" i="253"/>
  <c r="O85" i="253"/>
  <c r="K85" i="253"/>
  <c r="I85" i="253"/>
  <c r="G85" i="253"/>
  <c r="P84" i="253"/>
  <c r="O84" i="253"/>
  <c r="K84" i="253"/>
  <c r="I84" i="253"/>
  <c r="G84" i="253"/>
  <c r="P83" i="253"/>
  <c r="O83" i="253"/>
  <c r="K83" i="253"/>
  <c r="I83" i="253"/>
  <c r="G83" i="253"/>
  <c r="P82" i="253"/>
  <c r="O82" i="253"/>
  <c r="K82" i="253"/>
  <c r="I82" i="253"/>
  <c r="G82" i="253"/>
  <c r="P81" i="253"/>
  <c r="O81" i="253"/>
  <c r="K81" i="253"/>
  <c r="I81" i="253"/>
  <c r="G81" i="253"/>
  <c r="P80" i="253"/>
  <c r="O80" i="253"/>
  <c r="K80" i="253"/>
  <c r="I80" i="253"/>
  <c r="G80" i="253"/>
  <c r="P79" i="253"/>
  <c r="O79" i="253"/>
  <c r="K79" i="253"/>
  <c r="I79" i="253"/>
  <c r="G79" i="253"/>
  <c r="P78" i="253"/>
  <c r="O78" i="253"/>
  <c r="K78" i="253"/>
  <c r="I78" i="253"/>
  <c r="G78" i="253"/>
  <c r="P77" i="253"/>
  <c r="K77" i="253"/>
  <c r="I77" i="253"/>
  <c r="G77" i="253"/>
  <c r="P76" i="253"/>
  <c r="K76" i="253"/>
  <c r="I76" i="253"/>
  <c r="G76" i="253"/>
  <c r="P75" i="253"/>
  <c r="K75" i="253"/>
  <c r="I75" i="253"/>
  <c r="G75" i="253"/>
  <c r="P74" i="253"/>
  <c r="K74" i="253"/>
  <c r="I74" i="253"/>
  <c r="G74" i="253"/>
  <c r="P73" i="253"/>
  <c r="K73" i="253"/>
  <c r="I73" i="253"/>
  <c r="G73" i="253"/>
  <c r="P71" i="253"/>
  <c r="O71" i="253"/>
  <c r="K71" i="253"/>
  <c r="G71" i="253"/>
  <c r="P70" i="253"/>
  <c r="O70" i="253"/>
  <c r="N70" i="253"/>
  <c r="K70" i="253"/>
  <c r="G70" i="253"/>
  <c r="P69" i="253"/>
  <c r="O69" i="253"/>
  <c r="N69" i="253"/>
  <c r="K69" i="253"/>
  <c r="G69" i="253"/>
  <c r="N67" i="253"/>
  <c r="F66" i="253" a="1"/>
  <c r="F66" i="253" s="1"/>
  <c r="P65" i="253"/>
  <c r="K65" i="253"/>
  <c r="E65" i="253"/>
  <c r="O64" i="253"/>
  <c r="M64" i="253"/>
  <c r="L64" i="253"/>
  <c r="P64" i="253" s="1"/>
  <c r="K64" i="253"/>
  <c r="J64" i="253"/>
  <c r="H64" i="253"/>
  <c r="I64" i="253" s="1"/>
  <c r="E57" i="253"/>
  <c r="P57" i="253" s="1"/>
  <c r="O56" i="253"/>
  <c r="N56" i="253"/>
  <c r="L56" i="253"/>
  <c r="K56" i="253"/>
  <c r="H56" i="253"/>
  <c r="F56" i="253"/>
  <c r="P56" i="253" s="1"/>
  <c r="E56" i="253"/>
  <c r="O55" i="253"/>
  <c r="N55" i="253"/>
  <c r="L55" i="253"/>
  <c r="K55" i="253"/>
  <c r="H55" i="253"/>
  <c r="F55" i="253"/>
  <c r="P55" i="253" s="1"/>
  <c r="E55" i="253"/>
  <c r="O54" i="253"/>
  <c r="N54" i="253"/>
  <c r="L54" i="253"/>
  <c r="K54" i="253"/>
  <c r="H54" i="253"/>
  <c r="F54" i="253"/>
  <c r="P54" i="253" s="1"/>
  <c r="E54" i="253"/>
  <c r="O53" i="253"/>
  <c r="N53" i="253"/>
  <c r="L53" i="253"/>
  <c r="K53" i="253"/>
  <c r="H53" i="253"/>
  <c r="F53" i="253"/>
  <c r="P53" i="253" s="1"/>
  <c r="E53" i="253"/>
  <c r="O52" i="253"/>
  <c r="N52" i="253"/>
  <c r="L52" i="253"/>
  <c r="K52" i="253"/>
  <c r="H52" i="253"/>
  <c r="F52" i="253"/>
  <c r="P52" i="253" s="1"/>
  <c r="E52" i="253"/>
  <c r="O51" i="253"/>
  <c r="N51" i="253"/>
  <c r="L51" i="253"/>
  <c r="K51" i="253"/>
  <c r="H51" i="253"/>
  <c r="F51" i="253"/>
  <c r="P51" i="253" s="1"/>
  <c r="E51" i="253"/>
  <c r="O50" i="253"/>
  <c r="N50" i="253"/>
  <c r="L50" i="253"/>
  <c r="K50" i="253"/>
  <c r="H50" i="253"/>
  <c r="F50" i="253"/>
  <c r="P50" i="253" s="1"/>
  <c r="E50" i="253"/>
  <c r="P49" i="253"/>
  <c r="O49" i="253"/>
  <c r="N49" i="253"/>
  <c r="L49" i="253"/>
  <c r="K49" i="253"/>
  <c r="H49" i="253"/>
  <c r="F49" i="253"/>
  <c r="E49" i="253"/>
  <c r="O48" i="253"/>
  <c r="N48" i="253"/>
  <c r="L48" i="253"/>
  <c r="K48" i="253"/>
  <c r="H48" i="253"/>
  <c r="F48" i="253"/>
  <c r="P48" i="253" s="1"/>
  <c r="E48" i="253"/>
  <c r="O47" i="253"/>
  <c r="N47" i="253"/>
  <c r="L47" i="253"/>
  <c r="K47" i="253"/>
  <c r="H47" i="253"/>
  <c r="F47" i="253"/>
  <c r="P47" i="253" s="1"/>
  <c r="E47" i="253"/>
  <c r="O46" i="253"/>
  <c r="N46" i="253"/>
  <c r="L46" i="253"/>
  <c r="K46" i="253"/>
  <c r="H46" i="253"/>
  <c r="F46" i="253"/>
  <c r="P46" i="253" s="1"/>
  <c r="E46" i="253"/>
  <c r="O45" i="253"/>
  <c r="N45" i="253"/>
  <c r="L45" i="253"/>
  <c r="K45" i="253"/>
  <c r="H45" i="253"/>
  <c r="F45" i="253"/>
  <c r="P45" i="253" s="1"/>
  <c r="E45" i="253"/>
  <c r="O44" i="253"/>
  <c r="N44" i="253"/>
  <c r="L44" i="253"/>
  <c r="K44" i="253"/>
  <c r="H44" i="253"/>
  <c r="F44" i="253"/>
  <c r="P44" i="253" s="1"/>
  <c r="E44" i="253"/>
  <c r="O43" i="253"/>
  <c r="N43" i="253"/>
  <c r="L43" i="253"/>
  <c r="K43" i="253"/>
  <c r="H43" i="253"/>
  <c r="F43" i="253"/>
  <c r="P43" i="253" s="1"/>
  <c r="E43" i="253"/>
  <c r="O42" i="253"/>
  <c r="N42" i="253"/>
  <c r="L42" i="253"/>
  <c r="K42" i="253"/>
  <c r="H42" i="253"/>
  <c r="F42" i="253"/>
  <c r="P42" i="253" s="1"/>
  <c r="E42" i="253"/>
  <c r="O41" i="253"/>
  <c r="N41" i="253"/>
  <c r="L41" i="253"/>
  <c r="K41" i="253"/>
  <c r="H41" i="253"/>
  <c r="F41" i="253"/>
  <c r="P41" i="253" s="1"/>
  <c r="E41" i="253"/>
  <c r="O40" i="253"/>
  <c r="N40" i="253"/>
  <c r="L40" i="253"/>
  <c r="K40" i="253"/>
  <c r="H40" i="253"/>
  <c r="F40" i="253"/>
  <c r="P40" i="253" s="1"/>
  <c r="E40" i="253"/>
  <c r="O39" i="253"/>
  <c r="N39" i="253"/>
  <c r="L39" i="253"/>
  <c r="K39" i="253"/>
  <c r="H39" i="253"/>
  <c r="F39" i="253"/>
  <c r="P39" i="253" s="1"/>
  <c r="E39" i="253"/>
  <c r="O38" i="253"/>
  <c r="N38" i="253"/>
  <c r="L38" i="253"/>
  <c r="K38" i="253"/>
  <c r="H38" i="253"/>
  <c r="E38" i="253"/>
  <c r="O37" i="253"/>
  <c r="N37" i="253"/>
  <c r="L37" i="253"/>
  <c r="K37" i="253"/>
  <c r="H37" i="253"/>
  <c r="F37" i="253"/>
  <c r="P37" i="253" s="1"/>
  <c r="E37" i="253"/>
  <c r="O36" i="253"/>
  <c r="N36" i="253"/>
  <c r="L36" i="253"/>
  <c r="K36" i="253"/>
  <c r="H36" i="253"/>
  <c r="F36" i="253"/>
  <c r="P36" i="253" s="1"/>
  <c r="E36" i="253"/>
  <c r="O34" i="253"/>
  <c r="N34" i="253"/>
  <c r="K34" i="253"/>
  <c r="H34" i="253"/>
  <c r="F34" i="253"/>
  <c r="P34" i="253" s="1"/>
  <c r="E34" i="253"/>
  <c r="O33" i="253"/>
  <c r="N33" i="253"/>
  <c r="K33" i="253"/>
  <c r="H33" i="253"/>
  <c r="F33" i="253"/>
  <c r="P33" i="253" s="1"/>
  <c r="E33" i="253"/>
  <c r="O32" i="253"/>
  <c r="N32" i="253"/>
  <c r="K32" i="253"/>
  <c r="H32" i="253"/>
  <c r="F32" i="253"/>
  <c r="P32" i="253" s="1"/>
  <c r="E32" i="253"/>
  <c r="O31" i="253"/>
  <c r="N31" i="253"/>
  <c r="K31" i="253"/>
  <c r="H31" i="253"/>
  <c r="F31" i="253"/>
  <c r="P31" i="253" s="1"/>
  <c r="E31" i="253"/>
  <c r="O30" i="253"/>
  <c r="N30" i="253"/>
  <c r="K30" i="253"/>
  <c r="H30" i="253"/>
  <c r="F30" i="253"/>
  <c r="P30" i="253" s="1"/>
  <c r="E30" i="253"/>
  <c r="P28" i="253"/>
  <c r="J28" i="253"/>
  <c r="D28" i="253"/>
  <c r="L28" i="253" s="1"/>
  <c r="M28" i="253" s="1"/>
  <c r="C28" i="253"/>
  <c r="H28" i="253" s="1"/>
  <c r="I28" i="253" s="1"/>
  <c r="O28" i="253" s="1"/>
  <c r="A28" i="253"/>
  <c r="P27" i="253"/>
  <c r="J27" i="253"/>
  <c r="D27" i="253"/>
  <c r="L27" i="253" s="1"/>
  <c r="M27" i="253" s="1"/>
  <c r="C27" i="253"/>
  <c r="H27" i="253" s="1"/>
  <c r="I27" i="253" s="1"/>
  <c r="O27" i="253" s="1"/>
  <c r="A27" i="253"/>
  <c r="P26" i="253"/>
  <c r="J26" i="253"/>
  <c r="E26" i="253" a="1"/>
  <c r="E26" i="253" s="1"/>
  <c r="D26" i="253"/>
  <c r="L26" i="253" s="1"/>
  <c r="M26" i="253" s="1"/>
  <c r="C26" i="253"/>
  <c r="H26" i="253" s="1"/>
  <c r="I26" i="253" s="1"/>
  <c r="O26" i="253" s="1"/>
  <c r="P25" i="253"/>
  <c r="J25" i="253"/>
  <c r="E25" i="253" a="1"/>
  <c r="E25" i="253" s="1"/>
  <c r="D25" i="253"/>
  <c r="L25" i="253" s="1"/>
  <c r="M25" i="253" s="1"/>
  <c r="C25" i="253"/>
  <c r="H25" i="253" s="1"/>
  <c r="I25" i="253" s="1"/>
  <c r="O25" i="253" s="1"/>
  <c r="P24" i="253"/>
  <c r="J24" i="253"/>
  <c r="E24" i="253" a="1"/>
  <c r="E24" i="253" s="1"/>
  <c r="D24" i="253"/>
  <c r="L24" i="253" s="1"/>
  <c r="M24" i="253" s="1"/>
  <c r="C24" i="253"/>
  <c r="H24" i="253" s="1"/>
  <c r="I24" i="253" s="1"/>
  <c r="O24" i="253" s="1"/>
  <c r="P23" i="253"/>
  <c r="J23" i="253"/>
  <c r="E23" i="253" a="1"/>
  <c r="E23" i="253" s="1"/>
  <c r="D23" i="253"/>
  <c r="L23" i="253" s="1"/>
  <c r="M23" i="253" s="1"/>
  <c r="C23" i="253"/>
  <c r="H23" i="253" s="1"/>
  <c r="I23" i="253" s="1"/>
  <c r="O23" i="253" s="1"/>
  <c r="P22" i="253"/>
  <c r="J22" i="253"/>
  <c r="E22" i="253" a="1"/>
  <c r="E22" i="253" s="1"/>
  <c r="D22" i="253"/>
  <c r="L22" i="253" s="1"/>
  <c r="M22" i="253" s="1"/>
  <c r="C22" i="253"/>
  <c r="H22" i="253" s="1"/>
  <c r="I22" i="253" s="1"/>
  <c r="O22" i="253" s="1"/>
  <c r="P21" i="253"/>
  <c r="J21" i="253"/>
  <c r="E21" i="253" a="1"/>
  <c r="E21" i="253" s="1"/>
  <c r="D21" i="253"/>
  <c r="L21" i="253" s="1"/>
  <c r="M21" i="253" s="1"/>
  <c r="C21" i="253"/>
  <c r="H21" i="253" s="1"/>
  <c r="I21" i="253" s="1"/>
  <c r="O21" i="253" s="1"/>
  <c r="J20" i="253"/>
  <c r="D20" i="253"/>
  <c r="L20" i="253" s="1"/>
  <c r="M20" i="253" s="1"/>
  <c r="C20" i="253"/>
  <c r="H20" i="253" s="1"/>
  <c r="I20" i="253" s="1"/>
  <c r="O20" i="253" s="1"/>
  <c r="J19" i="253"/>
  <c r="D19" i="253"/>
  <c r="L19" i="253" s="1"/>
  <c r="M19" i="253" s="1"/>
  <c r="C19" i="253"/>
  <c r="H19" i="253" s="1"/>
  <c r="N17" i="253"/>
  <c r="E17" i="253"/>
  <c r="P17" i="253" s="1"/>
  <c r="P16" i="253"/>
  <c r="N16" i="253"/>
  <c r="E16" i="253"/>
  <c r="N15" i="253"/>
  <c r="J15" i="253"/>
  <c r="J16" i="253" s="1"/>
  <c r="E15" i="253"/>
  <c r="P15" i="253" s="1"/>
  <c r="S13" i="253"/>
  <c r="P13" i="253"/>
  <c r="O13" i="253"/>
  <c r="P11" i="253"/>
  <c r="J11" i="253"/>
  <c r="J10" i="253"/>
  <c r="E10" i="253"/>
  <c r="O9" i="253"/>
  <c r="S8" i="253"/>
  <c r="J8" i="253"/>
  <c r="J9" i="253" s="1"/>
  <c r="L7" i="253"/>
  <c r="F7" i="253"/>
  <c r="X6" i="253"/>
  <c r="O92" i="253" s="1"/>
  <c r="V6" i="253"/>
  <c r="T6" i="253"/>
  <c r="R6" i="253"/>
  <c r="P5" i="253"/>
  <c r="P10" i="253" s="1"/>
  <c r="N5" i="253"/>
  <c r="M5" i="253"/>
  <c r="K5" i="253"/>
  <c r="J5" i="253"/>
  <c r="J13" i="253" s="1"/>
  <c r="J14" i="253" s="1"/>
  <c r="U6" i="253" s="1"/>
  <c r="E5" i="253"/>
  <c r="N4" i="253"/>
  <c r="M4" i="253"/>
  <c r="J4" i="253"/>
  <c r="F4" i="253"/>
  <c r="E4" i="253"/>
  <c r="E20" i="253" s="1" a="1"/>
  <c r="E20" i="253" s="1"/>
  <c r="P90" i="252"/>
  <c r="O90" i="252"/>
  <c r="K90" i="252"/>
  <c r="I90" i="252"/>
  <c r="G90" i="252"/>
  <c r="P89" i="252"/>
  <c r="O89" i="252"/>
  <c r="K89" i="252"/>
  <c r="I89" i="252"/>
  <c r="G89" i="252"/>
  <c r="P88" i="252"/>
  <c r="O88" i="252"/>
  <c r="K88" i="252"/>
  <c r="I88" i="252"/>
  <c r="G88" i="252"/>
  <c r="P87" i="252"/>
  <c r="O87" i="252"/>
  <c r="K87" i="252"/>
  <c r="I87" i="252"/>
  <c r="G87" i="252"/>
  <c r="P86" i="252"/>
  <c r="O86" i="252"/>
  <c r="K86" i="252"/>
  <c r="I86" i="252"/>
  <c r="G86" i="252"/>
  <c r="P85" i="252"/>
  <c r="O85" i="252"/>
  <c r="K85" i="252"/>
  <c r="I85" i="252"/>
  <c r="G85" i="252"/>
  <c r="P84" i="252"/>
  <c r="O84" i="252"/>
  <c r="K84" i="252"/>
  <c r="I84" i="252"/>
  <c r="G84" i="252"/>
  <c r="P83" i="252"/>
  <c r="O83" i="252"/>
  <c r="K83" i="252"/>
  <c r="I83" i="252"/>
  <c r="G83" i="252"/>
  <c r="P82" i="252"/>
  <c r="O82" i="252"/>
  <c r="K82" i="252"/>
  <c r="I82" i="252"/>
  <c r="G82" i="252"/>
  <c r="P81" i="252"/>
  <c r="O81" i="252"/>
  <c r="K81" i="252"/>
  <c r="I81" i="252"/>
  <c r="G81" i="252"/>
  <c r="P80" i="252"/>
  <c r="O80" i="252"/>
  <c r="K80" i="252"/>
  <c r="I80" i="252"/>
  <c r="G80" i="252"/>
  <c r="P79" i="252"/>
  <c r="O79" i="252"/>
  <c r="K79" i="252"/>
  <c r="I79" i="252"/>
  <c r="G79" i="252"/>
  <c r="P78" i="252"/>
  <c r="O78" i="252"/>
  <c r="K78" i="252"/>
  <c r="I78" i="252"/>
  <c r="G78" i="252"/>
  <c r="P77" i="252"/>
  <c r="O77" i="252"/>
  <c r="K77" i="252"/>
  <c r="I77" i="252"/>
  <c r="G77" i="252"/>
  <c r="P76" i="252"/>
  <c r="O76" i="252"/>
  <c r="K76" i="252"/>
  <c r="I76" i="252"/>
  <c r="G76" i="252"/>
  <c r="P75" i="252"/>
  <c r="O75" i="252"/>
  <c r="K75" i="252"/>
  <c r="I75" i="252"/>
  <c r="G75" i="252"/>
  <c r="P74" i="252"/>
  <c r="K74" i="252"/>
  <c r="I74" i="252"/>
  <c r="G74" i="252"/>
  <c r="P73" i="252"/>
  <c r="K73" i="252"/>
  <c r="I73" i="252"/>
  <c r="G73" i="252"/>
  <c r="P71" i="252"/>
  <c r="O71" i="252"/>
  <c r="K71" i="252"/>
  <c r="G71" i="252"/>
  <c r="P70" i="252"/>
  <c r="O70" i="252"/>
  <c r="N70" i="252"/>
  <c r="K70" i="252"/>
  <c r="G70" i="252"/>
  <c r="P69" i="252"/>
  <c r="O69" i="252"/>
  <c r="N69" i="252"/>
  <c r="K69" i="252"/>
  <c r="G69" i="252"/>
  <c r="N67" i="252"/>
  <c r="F66" i="252" a="1"/>
  <c r="F66" i="252" s="1"/>
  <c r="P65" i="252"/>
  <c r="K65" i="252"/>
  <c r="E65" i="252"/>
  <c r="O64" i="252"/>
  <c r="M64" i="252"/>
  <c r="L64" i="252"/>
  <c r="L65" i="252" s="1"/>
  <c r="L66" i="252" s="1"/>
  <c r="K64" i="252"/>
  <c r="J64" i="252"/>
  <c r="H64" i="252"/>
  <c r="I64" i="252" s="1"/>
  <c r="E57" i="252"/>
  <c r="P57" i="252" s="1"/>
  <c r="O56" i="252"/>
  <c r="N56" i="252"/>
  <c r="L56" i="252"/>
  <c r="K56" i="252"/>
  <c r="H56" i="252"/>
  <c r="F56" i="252"/>
  <c r="P56" i="252" s="1"/>
  <c r="E56" i="252"/>
  <c r="P55" i="252"/>
  <c r="O55" i="252"/>
  <c r="N55" i="252"/>
  <c r="L55" i="252"/>
  <c r="K55" i="252"/>
  <c r="H55" i="252"/>
  <c r="F55" i="252"/>
  <c r="E55" i="252"/>
  <c r="O54" i="252"/>
  <c r="N54" i="252"/>
  <c r="L54" i="252"/>
  <c r="K54" i="252"/>
  <c r="H54" i="252"/>
  <c r="F54" i="252"/>
  <c r="P54" i="252" s="1"/>
  <c r="E54" i="252"/>
  <c r="O53" i="252"/>
  <c r="N53" i="252"/>
  <c r="L53" i="252"/>
  <c r="K53" i="252"/>
  <c r="H53" i="252"/>
  <c r="F53" i="252"/>
  <c r="P53" i="252" s="1"/>
  <c r="E53" i="252"/>
  <c r="P52" i="252"/>
  <c r="O52" i="252"/>
  <c r="N52" i="252"/>
  <c r="L52" i="252"/>
  <c r="K52" i="252"/>
  <c r="H52" i="252"/>
  <c r="F52" i="252"/>
  <c r="E52" i="252"/>
  <c r="O51" i="252"/>
  <c r="N51" i="252"/>
  <c r="L51" i="252"/>
  <c r="K51" i="252"/>
  <c r="H51" i="252"/>
  <c r="F51" i="252"/>
  <c r="P51" i="252" s="1"/>
  <c r="E51" i="252"/>
  <c r="O50" i="252"/>
  <c r="N50" i="252"/>
  <c r="L50" i="252"/>
  <c r="K50" i="252"/>
  <c r="H50" i="252"/>
  <c r="F50" i="252"/>
  <c r="P50" i="252" s="1"/>
  <c r="E50" i="252"/>
  <c r="P49" i="252"/>
  <c r="O49" i="252"/>
  <c r="N49" i="252"/>
  <c r="L49" i="252"/>
  <c r="K49" i="252"/>
  <c r="H49" i="252"/>
  <c r="F49" i="252"/>
  <c r="E49" i="252"/>
  <c r="O48" i="252"/>
  <c r="N48" i="252"/>
  <c r="L48" i="252"/>
  <c r="K48" i="252"/>
  <c r="H48" i="252"/>
  <c r="F48" i="252"/>
  <c r="P48" i="252" s="1"/>
  <c r="E48" i="252"/>
  <c r="O47" i="252"/>
  <c r="N47" i="252"/>
  <c r="L47" i="252"/>
  <c r="K47" i="252"/>
  <c r="H47" i="252"/>
  <c r="F47" i="252"/>
  <c r="P47" i="252" s="1"/>
  <c r="E47" i="252"/>
  <c r="O46" i="252"/>
  <c r="N46" i="252"/>
  <c r="L46" i="252"/>
  <c r="K46" i="252"/>
  <c r="H46" i="252"/>
  <c r="F46" i="252"/>
  <c r="P46" i="252" s="1"/>
  <c r="E46" i="252"/>
  <c r="O45" i="252"/>
  <c r="N45" i="252"/>
  <c r="L45" i="252"/>
  <c r="K45" i="252"/>
  <c r="H45" i="252"/>
  <c r="F45" i="252"/>
  <c r="P45" i="252" s="1"/>
  <c r="E45" i="252"/>
  <c r="O44" i="252"/>
  <c r="N44" i="252"/>
  <c r="L44" i="252"/>
  <c r="K44" i="252"/>
  <c r="H44" i="252"/>
  <c r="F44" i="252"/>
  <c r="P44" i="252" s="1"/>
  <c r="E44" i="252"/>
  <c r="O43" i="252"/>
  <c r="N43" i="252"/>
  <c r="L43" i="252"/>
  <c r="K43" i="252"/>
  <c r="H43" i="252"/>
  <c r="F43" i="252"/>
  <c r="P43" i="252" s="1"/>
  <c r="E43" i="252"/>
  <c r="O42" i="252"/>
  <c r="N42" i="252"/>
  <c r="L42" i="252"/>
  <c r="K42" i="252"/>
  <c r="H42" i="252"/>
  <c r="F42" i="252"/>
  <c r="P42" i="252" s="1"/>
  <c r="E42" i="252"/>
  <c r="O41" i="252"/>
  <c r="N41" i="252"/>
  <c r="L41" i="252"/>
  <c r="K41" i="252"/>
  <c r="H41" i="252"/>
  <c r="F41" i="252"/>
  <c r="P41" i="252" s="1"/>
  <c r="E41" i="252"/>
  <c r="P40" i="252"/>
  <c r="O40" i="252"/>
  <c r="N40" i="252"/>
  <c r="L40" i="252"/>
  <c r="K40" i="252"/>
  <c r="H40" i="252"/>
  <c r="F40" i="252"/>
  <c r="E40" i="252"/>
  <c r="O39" i="252"/>
  <c r="N39" i="252"/>
  <c r="L39" i="252"/>
  <c r="K39" i="252"/>
  <c r="H39" i="252"/>
  <c r="F39" i="252"/>
  <c r="P39" i="252" s="1"/>
  <c r="E39" i="252"/>
  <c r="O38" i="252"/>
  <c r="N38" i="252"/>
  <c r="L38" i="252"/>
  <c r="K38" i="252"/>
  <c r="H38" i="252"/>
  <c r="F38" i="252"/>
  <c r="P38" i="252" s="1"/>
  <c r="E38" i="252"/>
  <c r="P37" i="252"/>
  <c r="O37" i="252"/>
  <c r="N37" i="252"/>
  <c r="L37" i="252"/>
  <c r="K37" i="252"/>
  <c r="H37" i="252"/>
  <c r="F37" i="252"/>
  <c r="E37" i="252"/>
  <c r="O36" i="252"/>
  <c r="N36" i="252"/>
  <c r="L36" i="252"/>
  <c r="N7" i="252" s="1"/>
  <c r="K36" i="252"/>
  <c r="H36" i="252"/>
  <c r="F36" i="252"/>
  <c r="P36" i="252" s="1"/>
  <c r="E36" i="252"/>
  <c r="O34" i="252"/>
  <c r="N34" i="252"/>
  <c r="K34" i="252"/>
  <c r="H34" i="252"/>
  <c r="F34" i="252"/>
  <c r="P34" i="252" s="1"/>
  <c r="E34" i="252"/>
  <c r="O33" i="252"/>
  <c r="N33" i="252"/>
  <c r="K33" i="252"/>
  <c r="H33" i="252"/>
  <c r="F33" i="252"/>
  <c r="P33" i="252" s="1"/>
  <c r="E33" i="252"/>
  <c r="O32" i="252"/>
  <c r="N32" i="252"/>
  <c r="K32" i="252"/>
  <c r="H32" i="252"/>
  <c r="F32" i="252"/>
  <c r="P32" i="252" s="1"/>
  <c r="E32" i="252"/>
  <c r="P31" i="252"/>
  <c r="O31" i="252"/>
  <c r="N31" i="252"/>
  <c r="K31" i="252"/>
  <c r="H31" i="252"/>
  <c r="F31" i="252"/>
  <c r="E31" i="252"/>
  <c r="O30" i="252"/>
  <c r="N30" i="252"/>
  <c r="K30" i="252"/>
  <c r="H30" i="252"/>
  <c r="F30" i="252"/>
  <c r="P30" i="252" s="1"/>
  <c r="E30" i="252"/>
  <c r="P28" i="252"/>
  <c r="J28" i="252"/>
  <c r="D28" i="252"/>
  <c r="L28" i="252" s="1"/>
  <c r="M28" i="252" s="1"/>
  <c r="C28" i="252"/>
  <c r="F28" i="252" s="1"/>
  <c r="A28" i="252"/>
  <c r="P27" i="252"/>
  <c r="J27" i="252"/>
  <c r="D27" i="252"/>
  <c r="L27" i="252" s="1"/>
  <c r="M27" i="252" s="1"/>
  <c r="C27" i="252"/>
  <c r="H27" i="252" s="1"/>
  <c r="I27" i="252" s="1"/>
  <c r="O27" i="252" s="1"/>
  <c r="A27" i="252"/>
  <c r="P26" i="252"/>
  <c r="J26" i="252"/>
  <c r="E26" i="252" a="1"/>
  <c r="E26" i="252" s="1"/>
  <c r="D26" i="252"/>
  <c r="L26" i="252" s="1"/>
  <c r="M26" i="252" s="1"/>
  <c r="C26" i="252"/>
  <c r="H26" i="252" s="1"/>
  <c r="I26" i="252" s="1"/>
  <c r="O26" i="252" s="1"/>
  <c r="P25" i="252"/>
  <c r="J25" i="252"/>
  <c r="E25" i="252" a="1"/>
  <c r="E25" i="252" s="1"/>
  <c r="D25" i="252"/>
  <c r="L25" i="252" s="1"/>
  <c r="M25" i="252" s="1"/>
  <c r="C25" i="252"/>
  <c r="H25" i="252" s="1"/>
  <c r="I25" i="252" s="1"/>
  <c r="O25" i="252" s="1"/>
  <c r="P24" i="252"/>
  <c r="J24" i="252"/>
  <c r="E24" i="252" a="1"/>
  <c r="E24" i="252" s="1"/>
  <c r="D24" i="252"/>
  <c r="L24" i="252" s="1"/>
  <c r="M24" i="252" s="1"/>
  <c r="C24" i="252"/>
  <c r="H24" i="252" s="1"/>
  <c r="I24" i="252" s="1"/>
  <c r="O24" i="252" s="1"/>
  <c r="P23" i="252"/>
  <c r="J23" i="252"/>
  <c r="E23" i="252" a="1"/>
  <c r="E23" i="252" s="1"/>
  <c r="D23" i="252"/>
  <c r="L23" i="252" s="1"/>
  <c r="M23" i="252" s="1"/>
  <c r="C23" i="252"/>
  <c r="F23" i="252" s="1"/>
  <c r="P22" i="252"/>
  <c r="J22" i="252"/>
  <c r="E22" i="252" a="1"/>
  <c r="E22" i="252" s="1"/>
  <c r="D22" i="252"/>
  <c r="L22" i="252" s="1"/>
  <c r="M22" i="252" s="1"/>
  <c r="C22" i="252"/>
  <c r="H22" i="252" s="1"/>
  <c r="I22" i="252" s="1"/>
  <c r="O22" i="252" s="1"/>
  <c r="P21" i="252"/>
  <c r="J21" i="252"/>
  <c r="E21" i="252" a="1"/>
  <c r="E21" i="252" s="1"/>
  <c r="D21" i="252"/>
  <c r="L21" i="252" s="1"/>
  <c r="M21" i="252" s="1"/>
  <c r="C21" i="252"/>
  <c r="F21" i="252" s="1"/>
  <c r="J20" i="252"/>
  <c r="E20" i="252" a="1"/>
  <c r="E20" i="252" s="1"/>
  <c r="D20" i="252"/>
  <c r="L20" i="252" s="1"/>
  <c r="M20" i="252" s="1"/>
  <c r="C20" i="252"/>
  <c r="H20" i="252" s="1"/>
  <c r="I20" i="252" s="1"/>
  <c r="O20" i="252" s="1"/>
  <c r="J19" i="252"/>
  <c r="E19" i="252" a="1"/>
  <c r="E19" i="252" s="1"/>
  <c r="D19" i="252"/>
  <c r="L19" i="252" s="1"/>
  <c r="M19" i="252" s="1"/>
  <c r="O73" i="252" s="1"/>
  <c r="C19" i="252"/>
  <c r="H19" i="252" s="1"/>
  <c r="N17" i="252"/>
  <c r="E17" i="252"/>
  <c r="P17" i="252" s="1"/>
  <c r="P16" i="252"/>
  <c r="N16" i="252"/>
  <c r="E16" i="252"/>
  <c r="S14" i="252"/>
  <c r="N15" i="252"/>
  <c r="J15" i="252"/>
  <c r="J16" i="252" s="1"/>
  <c r="E15" i="252"/>
  <c r="P15" i="252" s="1"/>
  <c r="P14" i="252"/>
  <c r="P13" i="252"/>
  <c r="O13" i="252"/>
  <c r="P11" i="252"/>
  <c r="J11" i="252"/>
  <c r="S9" i="252"/>
  <c r="J10" i="252"/>
  <c r="E10" i="252"/>
  <c r="O9" i="252"/>
  <c r="E9" i="252"/>
  <c r="P9" i="252" s="1"/>
  <c r="J8" i="252"/>
  <c r="J9" i="252" s="1"/>
  <c r="L7" i="252"/>
  <c r="F7" i="252"/>
  <c r="X6" i="252"/>
  <c r="O92" i="252" s="1"/>
  <c r="V6" i="252"/>
  <c r="T6" i="252"/>
  <c r="R6" i="252"/>
  <c r="P5" i="252"/>
  <c r="P20" i="252" s="1"/>
  <c r="N5" i="252"/>
  <c r="M5" i="252"/>
  <c r="K5" i="252"/>
  <c r="J5" i="252"/>
  <c r="J13" i="252" s="1"/>
  <c r="J14" i="252" s="1"/>
  <c r="U6" i="252" s="1"/>
  <c r="E5" i="252"/>
  <c r="N4" i="252"/>
  <c r="M4" i="252"/>
  <c r="J4" i="252"/>
  <c r="F4" i="252"/>
  <c r="E4" i="252"/>
  <c r="E7" i="252" s="1" a="1"/>
  <c r="E7" i="252" s="1"/>
  <c r="P7" i="252" s="1" a="1"/>
  <c r="P7" i="252" s="1"/>
  <c r="P90" i="251"/>
  <c r="O90" i="251"/>
  <c r="K90" i="251"/>
  <c r="I90" i="251"/>
  <c r="G90" i="251"/>
  <c r="P89" i="251"/>
  <c r="O89" i="251"/>
  <c r="K89" i="251"/>
  <c r="I89" i="251"/>
  <c r="G89" i="251"/>
  <c r="P88" i="251"/>
  <c r="O88" i="251"/>
  <c r="K88" i="251"/>
  <c r="I88" i="251"/>
  <c r="G88" i="251"/>
  <c r="P87" i="251"/>
  <c r="O87" i="251"/>
  <c r="K87" i="251"/>
  <c r="I87" i="251"/>
  <c r="G87" i="251"/>
  <c r="P86" i="251"/>
  <c r="O86" i="251"/>
  <c r="K86" i="251"/>
  <c r="I86" i="251"/>
  <c r="G86" i="251"/>
  <c r="P85" i="251"/>
  <c r="O85" i="251"/>
  <c r="K85" i="251"/>
  <c r="I85" i="251"/>
  <c r="G85" i="251"/>
  <c r="P84" i="251"/>
  <c r="O84" i="251"/>
  <c r="K84" i="251"/>
  <c r="I84" i="251"/>
  <c r="G84" i="251"/>
  <c r="P83" i="251"/>
  <c r="O83" i="251"/>
  <c r="K83" i="251"/>
  <c r="I83" i="251"/>
  <c r="G83" i="251"/>
  <c r="P82" i="251"/>
  <c r="O82" i="251"/>
  <c r="K82" i="251"/>
  <c r="I82" i="251"/>
  <c r="G82" i="251"/>
  <c r="P81" i="251"/>
  <c r="O81" i="251"/>
  <c r="K81" i="251"/>
  <c r="I81" i="251"/>
  <c r="G81" i="251"/>
  <c r="P80" i="251"/>
  <c r="O80" i="251"/>
  <c r="K80" i="251"/>
  <c r="I80" i="251"/>
  <c r="G80" i="251"/>
  <c r="P79" i="251"/>
  <c r="O79" i="251"/>
  <c r="K79" i="251"/>
  <c r="I79" i="251"/>
  <c r="G79" i="251"/>
  <c r="P78" i="251"/>
  <c r="O78" i="251"/>
  <c r="K78" i="251"/>
  <c r="I78" i="251"/>
  <c r="G78" i="251"/>
  <c r="P77" i="251"/>
  <c r="K77" i="251"/>
  <c r="I77" i="251"/>
  <c r="G77" i="251"/>
  <c r="P76" i="251"/>
  <c r="K76" i="251"/>
  <c r="I76" i="251"/>
  <c r="G76" i="251"/>
  <c r="P75" i="251"/>
  <c r="K75" i="251"/>
  <c r="I75" i="251"/>
  <c r="G75" i="251"/>
  <c r="P74" i="251"/>
  <c r="K74" i="251"/>
  <c r="I74" i="251"/>
  <c r="G74" i="251"/>
  <c r="P73" i="251"/>
  <c r="K73" i="251"/>
  <c r="I73" i="251"/>
  <c r="G73" i="251"/>
  <c r="P71" i="251"/>
  <c r="O71" i="251"/>
  <c r="K71" i="251"/>
  <c r="G71" i="251"/>
  <c r="P70" i="251"/>
  <c r="O70" i="251"/>
  <c r="N70" i="251"/>
  <c r="K70" i="251"/>
  <c r="G70" i="251"/>
  <c r="P69" i="251"/>
  <c r="O69" i="251"/>
  <c r="N69" i="251"/>
  <c r="K69" i="251"/>
  <c r="G69" i="251"/>
  <c r="N67" i="251"/>
  <c r="F66" i="251" a="1"/>
  <c r="F66" i="251" s="1"/>
  <c r="P65" i="251"/>
  <c r="K65" i="251"/>
  <c r="E65" i="251"/>
  <c r="O64" i="251"/>
  <c r="M64" i="251"/>
  <c r="L64" i="251"/>
  <c r="P64" i="251" s="1"/>
  <c r="K64" i="251"/>
  <c r="J64" i="251"/>
  <c r="H64" i="251"/>
  <c r="I64" i="251" s="1"/>
  <c r="E57" i="251"/>
  <c r="P57" i="251" s="1"/>
  <c r="O56" i="251"/>
  <c r="N56" i="251"/>
  <c r="L56" i="251"/>
  <c r="K56" i="251"/>
  <c r="H56" i="251"/>
  <c r="F56" i="251"/>
  <c r="P56" i="251" s="1"/>
  <c r="E56" i="251"/>
  <c r="O55" i="251"/>
  <c r="N55" i="251"/>
  <c r="L55" i="251"/>
  <c r="K55" i="251"/>
  <c r="H55" i="251"/>
  <c r="F55" i="251"/>
  <c r="P55" i="251" s="1"/>
  <c r="E55" i="251"/>
  <c r="O54" i="251"/>
  <c r="N54" i="251"/>
  <c r="L54" i="251"/>
  <c r="K54" i="251"/>
  <c r="H54" i="251"/>
  <c r="F54" i="251"/>
  <c r="P54" i="251" s="1"/>
  <c r="E54" i="251"/>
  <c r="O53" i="251"/>
  <c r="N53" i="251"/>
  <c r="L53" i="251"/>
  <c r="K53" i="251"/>
  <c r="H53" i="251"/>
  <c r="F53" i="251"/>
  <c r="P53" i="251" s="1"/>
  <c r="E53" i="251"/>
  <c r="O52" i="251"/>
  <c r="N52" i="251"/>
  <c r="L52" i="251"/>
  <c r="K52" i="251"/>
  <c r="H52" i="251"/>
  <c r="F52" i="251"/>
  <c r="P52" i="251" s="1"/>
  <c r="E52" i="251"/>
  <c r="O51" i="251"/>
  <c r="N51" i="251"/>
  <c r="L51" i="251"/>
  <c r="K51" i="251"/>
  <c r="H51" i="251"/>
  <c r="F51" i="251"/>
  <c r="P51" i="251" s="1"/>
  <c r="E51" i="251"/>
  <c r="O50" i="251"/>
  <c r="N50" i="251"/>
  <c r="L50" i="251"/>
  <c r="K50" i="251"/>
  <c r="H50" i="251"/>
  <c r="F50" i="251"/>
  <c r="P50" i="251" s="1"/>
  <c r="E50" i="251"/>
  <c r="O49" i="251"/>
  <c r="N49" i="251"/>
  <c r="L49" i="251"/>
  <c r="K49" i="251"/>
  <c r="H49" i="251"/>
  <c r="F49" i="251"/>
  <c r="P49" i="251" s="1"/>
  <c r="E49" i="251"/>
  <c r="O48" i="251"/>
  <c r="N48" i="251"/>
  <c r="L48" i="251"/>
  <c r="K48" i="251"/>
  <c r="H48" i="251"/>
  <c r="F48" i="251"/>
  <c r="P48" i="251" s="1"/>
  <c r="E48" i="251"/>
  <c r="O47" i="251"/>
  <c r="N47" i="251"/>
  <c r="L47" i="251"/>
  <c r="K47" i="251"/>
  <c r="H47" i="251"/>
  <c r="F47" i="251"/>
  <c r="P47" i="251" s="1"/>
  <c r="E47" i="251"/>
  <c r="O46" i="251"/>
  <c r="N46" i="251"/>
  <c r="L46" i="251"/>
  <c r="K46" i="251"/>
  <c r="H46" i="251"/>
  <c r="F46" i="251"/>
  <c r="P46" i="251" s="1"/>
  <c r="E46" i="251"/>
  <c r="O45" i="251"/>
  <c r="N45" i="251"/>
  <c r="L45" i="251"/>
  <c r="K45" i="251"/>
  <c r="H45" i="251"/>
  <c r="F45" i="251"/>
  <c r="P45" i="251" s="1"/>
  <c r="E45" i="251"/>
  <c r="O44" i="251"/>
  <c r="N44" i="251"/>
  <c r="L44" i="251"/>
  <c r="K44" i="251"/>
  <c r="H44" i="251"/>
  <c r="F44" i="251"/>
  <c r="P44" i="251" s="1"/>
  <c r="E44" i="251"/>
  <c r="O43" i="251"/>
  <c r="N43" i="251"/>
  <c r="L43" i="251"/>
  <c r="K43" i="251"/>
  <c r="H43" i="251"/>
  <c r="F43" i="251"/>
  <c r="P43" i="251" s="1"/>
  <c r="E43" i="251"/>
  <c r="O42" i="251"/>
  <c r="N42" i="251"/>
  <c r="L42" i="251"/>
  <c r="K42" i="251"/>
  <c r="H42" i="251"/>
  <c r="F42" i="251"/>
  <c r="P42" i="251" s="1"/>
  <c r="E42" i="251"/>
  <c r="O41" i="251"/>
  <c r="N41" i="251"/>
  <c r="L41" i="251"/>
  <c r="K41" i="251"/>
  <c r="H41" i="251"/>
  <c r="F41" i="251"/>
  <c r="P41" i="251" s="1"/>
  <c r="E41" i="251"/>
  <c r="O40" i="251"/>
  <c r="N40" i="251"/>
  <c r="L40" i="251"/>
  <c r="K40" i="251"/>
  <c r="H40" i="251"/>
  <c r="F40" i="251"/>
  <c r="P40" i="251" s="1"/>
  <c r="E40" i="251"/>
  <c r="O39" i="251"/>
  <c r="N39" i="251"/>
  <c r="L39" i="251"/>
  <c r="K39" i="251"/>
  <c r="H39" i="251"/>
  <c r="E39" i="251"/>
  <c r="O38" i="251"/>
  <c r="N38" i="251"/>
  <c r="L38" i="251"/>
  <c r="K38" i="251"/>
  <c r="H38" i="251"/>
  <c r="E38" i="251"/>
  <c r="O37" i="251"/>
  <c r="N37" i="251"/>
  <c r="L37" i="251"/>
  <c r="K37" i="251"/>
  <c r="H37" i="251"/>
  <c r="F37" i="251"/>
  <c r="P37" i="251" s="1"/>
  <c r="E37" i="251"/>
  <c r="O36" i="251"/>
  <c r="N36" i="251"/>
  <c r="L36" i="251"/>
  <c r="K36" i="251"/>
  <c r="H36" i="251"/>
  <c r="F36" i="251"/>
  <c r="P36" i="251" s="1"/>
  <c r="E36" i="251"/>
  <c r="O34" i="251"/>
  <c r="N34" i="251"/>
  <c r="K34" i="251"/>
  <c r="H34" i="251"/>
  <c r="F34" i="251"/>
  <c r="P34" i="251" s="1"/>
  <c r="E34" i="251"/>
  <c r="P33" i="251"/>
  <c r="O33" i="251"/>
  <c r="N33" i="251"/>
  <c r="K33" i="251"/>
  <c r="H33" i="251"/>
  <c r="F33" i="251"/>
  <c r="E33" i="251"/>
  <c r="O32" i="251"/>
  <c r="N32" i="251"/>
  <c r="K32" i="251"/>
  <c r="H32" i="251"/>
  <c r="F32" i="251"/>
  <c r="P32" i="251" s="1"/>
  <c r="E32" i="251"/>
  <c r="O31" i="251"/>
  <c r="N31" i="251"/>
  <c r="K31" i="251"/>
  <c r="H31" i="251"/>
  <c r="F31" i="251"/>
  <c r="P31" i="251" s="1"/>
  <c r="E31" i="251"/>
  <c r="O30" i="251"/>
  <c r="N30" i="251"/>
  <c r="K30" i="251"/>
  <c r="H30" i="251"/>
  <c r="F30" i="251"/>
  <c r="P30" i="251" s="1"/>
  <c r="E30" i="251"/>
  <c r="P28" i="251"/>
  <c r="J28" i="251"/>
  <c r="D28" i="251"/>
  <c r="L28" i="251" s="1"/>
  <c r="M28" i="251" s="1"/>
  <c r="C28" i="251"/>
  <c r="H28" i="251" s="1"/>
  <c r="I28" i="251" s="1"/>
  <c r="O28" i="251" s="1"/>
  <c r="A28" i="251"/>
  <c r="P27" i="251"/>
  <c r="J27" i="251"/>
  <c r="D27" i="251"/>
  <c r="L27" i="251" s="1"/>
  <c r="M27" i="251" s="1"/>
  <c r="C27" i="251"/>
  <c r="H27" i="251" s="1"/>
  <c r="I27" i="251" s="1"/>
  <c r="O27" i="251" s="1"/>
  <c r="A27" i="251"/>
  <c r="P26" i="251"/>
  <c r="J26" i="251"/>
  <c r="E26" i="251" a="1"/>
  <c r="E26" i="251" s="1"/>
  <c r="D26" i="251"/>
  <c r="L26" i="251" s="1"/>
  <c r="M26" i="251" s="1"/>
  <c r="C26" i="251"/>
  <c r="H26" i="251" s="1"/>
  <c r="I26" i="251" s="1"/>
  <c r="O26" i="251" s="1"/>
  <c r="P25" i="251"/>
  <c r="J25" i="251"/>
  <c r="E25" i="251" a="1"/>
  <c r="E25" i="251" s="1"/>
  <c r="D25" i="251"/>
  <c r="L25" i="251" s="1"/>
  <c r="M25" i="251" s="1"/>
  <c r="C25" i="251"/>
  <c r="H25" i="251" s="1"/>
  <c r="I25" i="251" s="1"/>
  <c r="O25" i="251" s="1"/>
  <c r="P24" i="251"/>
  <c r="J24" i="251"/>
  <c r="E24" i="251" a="1"/>
  <c r="E24" i="251" s="1"/>
  <c r="D24" i="251"/>
  <c r="L24" i="251" s="1"/>
  <c r="M24" i="251" s="1"/>
  <c r="C24" i="251"/>
  <c r="F24" i="251" s="1"/>
  <c r="P23" i="251"/>
  <c r="J23" i="251"/>
  <c r="E23" i="251" a="1"/>
  <c r="E23" i="251" s="1"/>
  <c r="D23" i="251"/>
  <c r="L23" i="251" s="1"/>
  <c r="M23" i="251" s="1"/>
  <c r="C23" i="251"/>
  <c r="H23" i="251" s="1"/>
  <c r="I23" i="251" s="1"/>
  <c r="O23" i="251" s="1"/>
  <c r="P22" i="251"/>
  <c r="J22" i="251"/>
  <c r="E22" i="251" a="1"/>
  <c r="E22" i="251" s="1"/>
  <c r="D22" i="251"/>
  <c r="L22" i="251" s="1"/>
  <c r="M22" i="251" s="1"/>
  <c r="C22" i="251"/>
  <c r="H22" i="251" s="1"/>
  <c r="I22" i="251" s="1"/>
  <c r="O22" i="251" s="1"/>
  <c r="P21" i="251"/>
  <c r="J21" i="251"/>
  <c r="E21" i="251" a="1"/>
  <c r="E21" i="251" s="1"/>
  <c r="D21" i="251"/>
  <c r="L21" i="251" s="1"/>
  <c r="M21" i="251" s="1"/>
  <c r="C21" i="251"/>
  <c r="H21" i="251" s="1"/>
  <c r="I21" i="251" s="1"/>
  <c r="O21" i="251" s="1"/>
  <c r="J20" i="251"/>
  <c r="D20" i="251"/>
  <c r="L20" i="251" s="1"/>
  <c r="M20" i="251" s="1"/>
  <c r="C20" i="251"/>
  <c r="F20" i="251" s="1"/>
  <c r="J19" i="251"/>
  <c r="D19" i="251"/>
  <c r="L19" i="251" s="1"/>
  <c r="M19" i="251" s="1"/>
  <c r="C19" i="251"/>
  <c r="H19" i="251" s="1"/>
  <c r="N17" i="251"/>
  <c r="E17" i="251"/>
  <c r="P17" i="251" s="1"/>
  <c r="P16" i="251"/>
  <c r="N16" i="251"/>
  <c r="E16" i="251"/>
  <c r="N15" i="251"/>
  <c r="J15" i="251"/>
  <c r="J16" i="251" s="1"/>
  <c r="E15" i="251"/>
  <c r="P15" i="251" s="1"/>
  <c r="S14" i="251"/>
  <c r="P13" i="251"/>
  <c r="O13" i="251"/>
  <c r="P11" i="251"/>
  <c r="J11" i="251"/>
  <c r="J10" i="251"/>
  <c r="E10" i="251"/>
  <c r="S9" i="251"/>
  <c r="O9" i="251"/>
  <c r="J8" i="251"/>
  <c r="J9" i="251" s="1"/>
  <c r="L7" i="251"/>
  <c r="F7" i="251"/>
  <c r="X6" i="251"/>
  <c r="O92" i="251" s="1"/>
  <c r="V6" i="251"/>
  <c r="T6" i="251"/>
  <c r="R6" i="251"/>
  <c r="P5" i="251"/>
  <c r="P19" i="251" s="1"/>
  <c r="N5" i="251"/>
  <c r="M5" i="251"/>
  <c r="K5" i="251"/>
  <c r="J5" i="251"/>
  <c r="J13" i="251" s="1"/>
  <c r="J14" i="251" s="1"/>
  <c r="U6" i="251" s="1"/>
  <c r="E5" i="251"/>
  <c r="N4" i="251"/>
  <c r="M4" i="251"/>
  <c r="J4" i="251"/>
  <c r="F4" i="251"/>
  <c r="E4" i="251"/>
  <c r="E9" i="251" s="1"/>
  <c r="P9" i="251" s="1"/>
  <c r="F65" i="2"/>
  <c r="F64" i="2"/>
  <c r="F63" i="2"/>
  <c r="F62" i="2"/>
  <c r="F59" i="2"/>
  <c r="F56" i="2"/>
  <c r="F55" i="2"/>
  <c r="F53" i="2"/>
  <c r="F52" i="2"/>
  <c r="F51" i="2"/>
  <c r="F49" i="2"/>
  <c r="F45" i="2"/>
  <c r="F43" i="2"/>
  <c r="F39" i="2"/>
  <c r="F38" i="2"/>
  <c r="F37" i="2"/>
  <c r="F36" i="2"/>
  <c r="F34" i="2"/>
  <c r="F31" i="2"/>
  <c r="F30" i="2"/>
  <c r="E7" i="264" l="1" a="1"/>
  <c r="E7" i="264" s="1"/>
  <c r="P7" i="264" s="1" a="1"/>
  <c r="P7" i="264" s="1"/>
  <c r="F41" i="264"/>
  <c r="P41" i="264" s="1"/>
  <c r="P19" i="264"/>
  <c r="P8" i="264"/>
  <c r="M11" i="264"/>
  <c r="S6" i="264" s="1"/>
  <c r="H66" i="264"/>
  <c r="S13" i="264" s="1"/>
  <c r="P20" i="264"/>
  <c r="P14" i="264"/>
  <c r="M11" i="263"/>
  <c r="S6" i="263" s="1"/>
  <c r="P20" i="263"/>
  <c r="E20" i="263" a="1"/>
  <c r="E20" i="263" s="1"/>
  <c r="E7" i="263" a="1"/>
  <c r="E7" i="263" s="1"/>
  <c r="P64" i="263"/>
  <c r="P67" i="263" s="1"/>
  <c r="P64" i="262"/>
  <c r="M11" i="262"/>
  <c r="S6" i="262" s="1"/>
  <c r="P67" i="262"/>
  <c r="P19" i="262"/>
  <c r="P20" i="262"/>
  <c r="H66" i="262"/>
  <c r="S13" i="262" s="1"/>
  <c r="P8" i="262"/>
  <c r="L65" i="261"/>
  <c r="L66" i="261" s="1"/>
  <c r="M11" i="261"/>
  <c r="S6" i="261" s="1"/>
  <c r="A7" i="252"/>
  <c r="P19" i="252"/>
  <c r="P8" i="252"/>
  <c r="P10" i="252"/>
  <c r="M11" i="252"/>
  <c r="S6" i="252" s="1"/>
  <c r="H19" i="259"/>
  <c r="I19" i="259" s="1"/>
  <c r="O19" i="259" s="1"/>
  <c r="F21" i="259"/>
  <c r="P14" i="251"/>
  <c r="P20" i="251"/>
  <c r="P10" i="251"/>
  <c r="M11" i="251"/>
  <c r="S6" i="251" s="1"/>
  <c r="F39" i="251"/>
  <c r="P39" i="251" s="1"/>
  <c r="P8" i="251"/>
  <c r="M11" i="259"/>
  <c r="S6" i="259" s="1"/>
  <c r="F23" i="259"/>
  <c r="P10" i="254"/>
  <c r="P8" i="254"/>
  <c r="P19" i="254"/>
  <c r="P14" i="256"/>
  <c r="F38" i="256"/>
  <c r="P38" i="256" s="1"/>
  <c r="E7" i="256" a="1"/>
  <c r="E7" i="256" s="1"/>
  <c r="E19" i="256" a="1"/>
  <c r="E19" i="256" s="1"/>
  <c r="L65" i="256"/>
  <c r="L66" i="256" s="1"/>
  <c r="L67" i="256" s="1"/>
  <c r="M11" i="256"/>
  <c r="S6" i="256" s="1"/>
  <c r="E20" i="254" a="1"/>
  <c r="E20" i="254" s="1"/>
  <c r="P20" i="254"/>
  <c r="P64" i="254"/>
  <c r="L65" i="253"/>
  <c r="L66" i="253" s="1"/>
  <c r="E64" i="253"/>
  <c r="M11" i="253"/>
  <c r="S6" i="253" s="1"/>
  <c r="J67" i="256"/>
  <c r="E7" i="254" a="1"/>
  <c r="E7" i="254" s="1"/>
  <c r="P7" i="254" s="1" a="1"/>
  <c r="P7" i="254" s="1"/>
  <c r="F38" i="254"/>
  <c r="P38" i="254" s="1"/>
  <c r="E19" i="254" a="1"/>
  <c r="E19" i="254" s="1"/>
  <c r="M11" i="254"/>
  <c r="S6" i="254" s="1"/>
  <c r="P67" i="253"/>
  <c r="H66" i="253"/>
  <c r="S12" i="253" s="1"/>
  <c r="P14" i="253"/>
  <c r="E7" i="253" a="1"/>
  <c r="E7" i="253" s="1"/>
  <c r="P7" i="253" s="1" a="1"/>
  <c r="P7" i="253" s="1"/>
  <c r="E9" i="253"/>
  <c r="P9" i="253" s="1"/>
  <c r="N7" i="257"/>
  <c r="S12" i="257" s="1"/>
  <c r="N7" i="251"/>
  <c r="S12" i="251" s="1"/>
  <c r="F40" i="259"/>
  <c r="P40" i="259" s="1"/>
  <c r="E64" i="259"/>
  <c r="L65" i="259"/>
  <c r="H66" i="259"/>
  <c r="S13" i="259" s="1"/>
  <c r="J67" i="259"/>
  <c r="P67" i="259"/>
  <c r="L66" i="259"/>
  <c r="L67" i="259" s="1"/>
  <c r="P8" i="259"/>
  <c r="E19" i="259" a="1"/>
  <c r="E19" i="259" s="1"/>
  <c r="P10" i="259"/>
  <c r="P19" i="259"/>
  <c r="P20" i="259"/>
  <c r="F38" i="253"/>
  <c r="P38" i="253" s="1"/>
  <c r="P8" i="253"/>
  <c r="E19" i="253" a="1"/>
  <c r="E19" i="253" s="1"/>
  <c r="P19" i="253"/>
  <c r="P20" i="253"/>
  <c r="A7" i="259"/>
  <c r="N7" i="259"/>
  <c r="S12" i="259" s="1"/>
  <c r="E7" i="259" a="1"/>
  <c r="E7" i="259" s="1"/>
  <c r="P7" i="259" s="1" a="1"/>
  <c r="P7" i="259" s="1"/>
  <c r="N7" i="262"/>
  <c r="S12" i="262" s="1"/>
  <c r="A7" i="264"/>
  <c r="N7" i="264"/>
  <c r="S12" i="264" s="1"/>
  <c r="J67" i="264"/>
  <c r="L67" i="264"/>
  <c r="K14" i="264"/>
  <c r="S11" i="264"/>
  <c r="P67" i="264"/>
  <c r="S10" i="264"/>
  <c r="I19" i="264"/>
  <c r="O19" i="264" s="1"/>
  <c r="E2" i="264"/>
  <c r="F19" i="264"/>
  <c r="F21" i="264"/>
  <c r="F23" i="264"/>
  <c r="F25" i="264"/>
  <c r="H27" i="264"/>
  <c r="I27" i="264" s="1"/>
  <c r="O27" i="264" s="1"/>
  <c r="J7" i="264"/>
  <c r="I66" i="264"/>
  <c r="O74" i="264" s="1"/>
  <c r="H20" i="264"/>
  <c r="I20" i="264" s="1"/>
  <c r="O20" i="264" s="1"/>
  <c r="H22" i="264"/>
  <c r="I22" i="264" s="1"/>
  <c r="O22" i="264" s="1"/>
  <c r="F26" i="264"/>
  <c r="H24" i="264"/>
  <c r="I24" i="264" s="1"/>
  <c r="O24" i="264" s="1"/>
  <c r="H28" i="264"/>
  <c r="I28" i="264" s="1"/>
  <c r="O28" i="264" s="1"/>
  <c r="N7" i="263"/>
  <c r="S12" i="263" s="1"/>
  <c r="A7" i="263"/>
  <c r="J7" i="263"/>
  <c r="J67" i="263"/>
  <c r="P7" i="263" a="1"/>
  <c r="P7" i="263" s="1"/>
  <c r="E2" i="263"/>
  <c r="S10" i="263"/>
  <c r="I19" i="263"/>
  <c r="O19" i="263" s="1"/>
  <c r="S11" i="263"/>
  <c r="K14" i="263"/>
  <c r="L66" i="263"/>
  <c r="L67" i="263" s="1"/>
  <c r="F19" i="263"/>
  <c r="F21" i="263"/>
  <c r="F23" i="263"/>
  <c r="F25" i="263"/>
  <c r="H27" i="263"/>
  <c r="I27" i="263" s="1"/>
  <c r="O27" i="263" s="1"/>
  <c r="S7" i="263" s="1"/>
  <c r="P66" i="263" a="1"/>
  <c r="P66" i="263" s="1"/>
  <c r="F28" i="263"/>
  <c r="S13" i="263"/>
  <c r="F20" i="263"/>
  <c r="F22" i="263"/>
  <c r="F24" i="263"/>
  <c r="F26" i="263"/>
  <c r="J7" i="262"/>
  <c r="A7" i="262"/>
  <c r="J7" i="261"/>
  <c r="J67" i="262"/>
  <c r="P7" i="262" a="1"/>
  <c r="P7" i="262" s="1"/>
  <c r="E2" i="262"/>
  <c r="K14" i="262"/>
  <c r="S11" i="262"/>
  <c r="L66" i="262"/>
  <c r="L67" i="262" s="1"/>
  <c r="S10" i="262"/>
  <c r="I19" i="262"/>
  <c r="O19" i="262" s="1"/>
  <c r="F27" i="262"/>
  <c r="I66" i="262"/>
  <c r="O74" i="262" s="1"/>
  <c r="F19" i="262"/>
  <c r="F21" i="262"/>
  <c r="F23" i="262"/>
  <c r="F25" i="262"/>
  <c r="P66" i="262" a="1"/>
  <c r="P66" i="262" s="1"/>
  <c r="P91" i="262" s="1"/>
  <c r="F28" i="262"/>
  <c r="H20" i="262"/>
  <c r="I20" i="262" s="1"/>
  <c r="O20" i="262" s="1"/>
  <c r="H22" i="262"/>
  <c r="I22" i="262" s="1"/>
  <c r="O22" i="262" s="1"/>
  <c r="H24" i="262"/>
  <c r="I24" i="262" s="1"/>
  <c r="O24" i="262" s="1"/>
  <c r="H26" i="262"/>
  <c r="I26" i="262" s="1"/>
  <c r="O26" i="262" s="1"/>
  <c r="J67" i="261"/>
  <c r="L67" i="261"/>
  <c r="N7" i="261"/>
  <c r="S12" i="261" s="1"/>
  <c r="A7" i="261"/>
  <c r="S12" i="252"/>
  <c r="K14" i="261"/>
  <c r="S11" i="261"/>
  <c r="S10" i="261"/>
  <c r="I19" i="261"/>
  <c r="O19" i="261" s="1"/>
  <c r="P67" i="261"/>
  <c r="I66" i="261"/>
  <c r="O74" i="261" s="1"/>
  <c r="E7" i="261" a="1"/>
  <c r="E7" i="261" s="1"/>
  <c r="F19" i="261"/>
  <c r="F21" i="261"/>
  <c r="F23" i="261"/>
  <c r="F25" i="261"/>
  <c r="H27" i="261"/>
  <c r="I27" i="261" s="1"/>
  <c r="O27" i="261" s="1"/>
  <c r="S13" i="261"/>
  <c r="E64" i="261"/>
  <c r="E20" i="261" a="1"/>
  <c r="E20" i="261" s="1"/>
  <c r="F28" i="261"/>
  <c r="F20" i="261"/>
  <c r="F22" i="261"/>
  <c r="F24" i="261"/>
  <c r="F26" i="261"/>
  <c r="A7" i="256"/>
  <c r="N7" i="254"/>
  <c r="S12" i="254" s="1"/>
  <c r="S11" i="259"/>
  <c r="K14" i="259"/>
  <c r="S10" i="259"/>
  <c r="F28" i="259"/>
  <c r="E9" i="259"/>
  <c r="P9" i="259" s="1"/>
  <c r="H27" i="259"/>
  <c r="I27" i="259" s="1"/>
  <c r="O27" i="259" s="1"/>
  <c r="P66" i="259" a="1"/>
  <c r="P66" i="259" s="1"/>
  <c r="F20" i="259"/>
  <c r="F22" i="259"/>
  <c r="F24" i="259"/>
  <c r="F26" i="259"/>
  <c r="J7" i="259"/>
  <c r="I66" i="259"/>
  <c r="P67" i="257"/>
  <c r="E64" i="257"/>
  <c r="E2" i="257" s="1"/>
  <c r="L65" i="257"/>
  <c r="L66" i="257" s="1"/>
  <c r="L67" i="257" s="1"/>
  <c r="J67" i="257"/>
  <c r="K14" i="257"/>
  <c r="S11" i="257"/>
  <c r="H66" i="257"/>
  <c r="P66" i="257" s="1" a="1"/>
  <c r="P66" i="257" s="1"/>
  <c r="H19" i="257"/>
  <c r="H25" i="257"/>
  <c r="I25" i="257" s="1"/>
  <c r="O25" i="257" s="1"/>
  <c r="J7" i="257"/>
  <c r="A7" i="257"/>
  <c r="F27" i="257"/>
  <c r="F21" i="257"/>
  <c r="F23" i="257"/>
  <c r="F20" i="257"/>
  <c r="F22" i="257"/>
  <c r="F24" i="257"/>
  <c r="F26" i="257"/>
  <c r="F28" i="257"/>
  <c r="N7" i="256"/>
  <c r="S12" i="256" s="1"/>
  <c r="S11" i="256"/>
  <c r="K14" i="256"/>
  <c r="P7" i="256" a="1"/>
  <c r="P7" i="256" s="1"/>
  <c r="P67" i="256"/>
  <c r="S10" i="256"/>
  <c r="I19" i="256"/>
  <c r="O19" i="256" s="1"/>
  <c r="F27" i="256"/>
  <c r="I66" i="256"/>
  <c r="F23" i="256"/>
  <c r="F25" i="256"/>
  <c r="P66" i="256" a="1"/>
  <c r="P66" i="256" s="1"/>
  <c r="P91" i="256" s="1"/>
  <c r="F19" i="256"/>
  <c r="E20" i="256" a="1"/>
  <c r="E20" i="256" s="1"/>
  <c r="E2" i="256" s="1"/>
  <c r="H28" i="256"/>
  <c r="I28" i="256" s="1"/>
  <c r="O28" i="256" s="1"/>
  <c r="F20" i="256"/>
  <c r="F22" i="256"/>
  <c r="F24" i="256"/>
  <c r="F26" i="256"/>
  <c r="F21" i="256"/>
  <c r="J7" i="256"/>
  <c r="A7" i="254"/>
  <c r="J67" i="254"/>
  <c r="E64" i="254"/>
  <c r="H66" i="254"/>
  <c r="I66" i="254" s="1"/>
  <c r="O75" i="254" s="1"/>
  <c r="L65" i="254"/>
  <c r="L66" i="254" s="1"/>
  <c r="L67" i="254" s="1"/>
  <c r="P67" i="254"/>
  <c r="O74" i="254"/>
  <c r="O76" i="254"/>
  <c r="O77" i="254"/>
  <c r="S11" i="254"/>
  <c r="K14" i="254"/>
  <c r="S10" i="254"/>
  <c r="I19" i="254"/>
  <c r="O19" i="254" s="1"/>
  <c r="F19" i="254"/>
  <c r="F21" i="254"/>
  <c r="F23" i="254"/>
  <c r="F25" i="254"/>
  <c r="H27" i="254"/>
  <c r="I27" i="254" s="1"/>
  <c r="O27" i="254" s="1"/>
  <c r="J7" i="254"/>
  <c r="F28" i="254"/>
  <c r="F20" i="254"/>
  <c r="F22" i="254"/>
  <c r="F24" i="254"/>
  <c r="F26" i="254"/>
  <c r="A7" i="253"/>
  <c r="N7" i="253"/>
  <c r="S11" i="253" s="1"/>
  <c r="L67" i="253"/>
  <c r="J67" i="253"/>
  <c r="K14" i="253"/>
  <c r="S10" i="253"/>
  <c r="S9" i="253"/>
  <c r="I19" i="253"/>
  <c r="O19" i="253" s="1"/>
  <c r="F27" i="253"/>
  <c r="F19" i="253"/>
  <c r="F21" i="253"/>
  <c r="F23" i="253"/>
  <c r="F25" i="253"/>
  <c r="I66" i="253"/>
  <c r="P66" i="253" a="1"/>
  <c r="P66" i="253" s="1"/>
  <c r="J7" i="253"/>
  <c r="F28" i="253"/>
  <c r="F20" i="253"/>
  <c r="F22" i="253"/>
  <c r="F24" i="253"/>
  <c r="F26" i="253"/>
  <c r="J67" i="252"/>
  <c r="L67" i="252"/>
  <c r="P64" i="252"/>
  <c r="P67" i="252" s="1"/>
  <c r="H66" i="252"/>
  <c r="S13" i="252" s="1"/>
  <c r="K14" i="252"/>
  <c r="S11" i="252"/>
  <c r="S10" i="252"/>
  <c r="I19" i="252"/>
  <c r="O19" i="252" s="1"/>
  <c r="F27" i="252"/>
  <c r="H21" i="252"/>
  <c r="I21" i="252" s="1"/>
  <c r="O21" i="252" s="1"/>
  <c r="H23" i="252"/>
  <c r="I23" i="252" s="1"/>
  <c r="O23" i="252" s="1"/>
  <c r="F19" i="252"/>
  <c r="F25" i="252"/>
  <c r="J7" i="252"/>
  <c r="E64" i="252"/>
  <c r="E2" i="252" s="1"/>
  <c r="H28" i="252"/>
  <c r="I28" i="252" s="1"/>
  <c r="O28" i="252" s="1"/>
  <c r="F20" i="252"/>
  <c r="F22" i="252"/>
  <c r="F24" i="252"/>
  <c r="F26" i="252"/>
  <c r="E64" i="251"/>
  <c r="L65" i="251"/>
  <c r="L66" i="251" s="1"/>
  <c r="L67" i="251" s="1"/>
  <c r="J67" i="251"/>
  <c r="S10" i="251"/>
  <c r="I19" i="251"/>
  <c r="O19" i="251" s="1"/>
  <c r="K14" i="251"/>
  <c r="S11" i="251"/>
  <c r="P67" i="251"/>
  <c r="E19" i="251" a="1"/>
  <c r="E19" i="251" s="1"/>
  <c r="F38" i="251"/>
  <c r="P38" i="251" s="1"/>
  <c r="H66" i="251"/>
  <c r="P66" i="251" s="1" a="1"/>
  <c r="P66" i="251" s="1"/>
  <c r="A7" i="251"/>
  <c r="F27" i="251"/>
  <c r="E7" i="251" a="1"/>
  <c r="E7" i="251" s="1"/>
  <c r="P7" i="251" s="1" a="1"/>
  <c r="P7" i="251" s="1"/>
  <c r="F19" i="251"/>
  <c r="F21" i="251"/>
  <c r="F23" i="251"/>
  <c r="F25" i="251"/>
  <c r="J7" i="251"/>
  <c r="F28" i="251"/>
  <c r="E20" i="251" a="1"/>
  <c r="E20" i="251" s="1"/>
  <c r="F22" i="251"/>
  <c r="F26" i="251"/>
  <c r="H20" i="251"/>
  <c r="I20" i="251" s="1"/>
  <c r="O20" i="251" s="1"/>
  <c r="H24" i="251"/>
  <c r="I24" i="251" s="1"/>
  <c r="O24" i="251" s="1"/>
  <c r="P90" i="250"/>
  <c r="O90" i="250"/>
  <c r="K90" i="250"/>
  <c r="I90" i="250"/>
  <c r="G90" i="250"/>
  <c r="P89" i="250"/>
  <c r="O89" i="250"/>
  <c r="K89" i="250"/>
  <c r="I89" i="250"/>
  <c r="G89" i="250"/>
  <c r="P88" i="250"/>
  <c r="O88" i="250"/>
  <c r="K88" i="250"/>
  <c r="I88" i="250"/>
  <c r="G88" i="250"/>
  <c r="P87" i="250"/>
  <c r="O87" i="250"/>
  <c r="K87" i="250"/>
  <c r="I87" i="250"/>
  <c r="G87" i="250"/>
  <c r="P86" i="250"/>
  <c r="O86" i="250"/>
  <c r="K86" i="250"/>
  <c r="I86" i="250"/>
  <c r="G86" i="250"/>
  <c r="P85" i="250"/>
  <c r="O85" i="250"/>
  <c r="K85" i="250"/>
  <c r="I85" i="250"/>
  <c r="G85" i="250"/>
  <c r="P84" i="250"/>
  <c r="O84" i="250"/>
  <c r="K84" i="250"/>
  <c r="I84" i="250"/>
  <c r="G84" i="250"/>
  <c r="P83" i="250"/>
  <c r="O83" i="250"/>
  <c r="K83" i="250"/>
  <c r="I83" i="250"/>
  <c r="G83" i="250"/>
  <c r="P82" i="250"/>
  <c r="O82" i="250"/>
  <c r="K82" i="250"/>
  <c r="I82" i="250"/>
  <c r="G82" i="250"/>
  <c r="P81" i="250"/>
  <c r="O81" i="250"/>
  <c r="K81" i="250"/>
  <c r="I81" i="250"/>
  <c r="G81" i="250"/>
  <c r="P80" i="250"/>
  <c r="O80" i="250"/>
  <c r="K80" i="250"/>
  <c r="I80" i="250"/>
  <c r="G80" i="250"/>
  <c r="P79" i="250"/>
  <c r="O79" i="250"/>
  <c r="K79" i="250"/>
  <c r="I79" i="250"/>
  <c r="G79" i="250"/>
  <c r="P78" i="250"/>
  <c r="O78" i="250"/>
  <c r="K78" i="250"/>
  <c r="I78" i="250"/>
  <c r="G78" i="250"/>
  <c r="P77" i="250"/>
  <c r="O77" i="250"/>
  <c r="K77" i="250"/>
  <c r="I77" i="250"/>
  <c r="G77" i="250"/>
  <c r="P76" i="250"/>
  <c r="K76" i="250"/>
  <c r="I76" i="250"/>
  <c r="G76" i="250"/>
  <c r="P75" i="250"/>
  <c r="K75" i="250"/>
  <c r="I75" i="250"/>
  <c r="G75" i="250"/>
  <c r="P74" i="250"/>
  <c r="K74" i="250"/>
  <c r="I74" i="250"/>
  <c r="G74" i="250"/>
  <c r="P73" i="250"/>
  <c r="K73" i="250"/>
  <c r="I73" i="250"/>
  <c r="G73" i="250"/>
  <c r="P71" i="250"/>
  <c r="O71" i="250"/>
  <c r="K71" i="250"/>
  <c r="G71" i="250"/>
  <c r="P70" i="250"/>
  <c r="O70" i="250"/>
  <c r="N70" i="250"/>
  <c r="K70" i="250"/>
  <c r="G70" i="250"/>
  <c r="P69" i="250"/>
  <c r="O69" i="250"/>
  <c r="N69" i="250"/>
  <c r="K69" i="250"/>
  <c r="G69" i="250"/>
  <c r="N67" i="250"/>
  <c r="F66" i="250" a="1"/>
  <c r="F66" i="250" s="1"/>
  <c r="P65" i="250"/>
  <c r="K65" i="250"/>
  <c r="E65" i="250"/>
  <c r="O64" i="250"/>
  <c r="M64" i="250"/>
  <c r="L64" i="250"/>
  <c r="K64" i="250"/>
  <c r="J64" i="250"/>
  <c r="H64" i="250"/>
  <c r="I64" i="250" s="1"/>
  <c r="P57" i="250"/>
  <c r="O56" i="250"/>
  <c r="N56" i="250"/>
  <c r="L56" i="250"/>
  <c r="K56" i="250"/>
  <c r="H56" i="250"/>
  <c r="F56" i="250"/>
  <c r="P56" i="250" s="1"/>
  <c r="E56" i="250"/>
  <c r="O55" i="250"/>
  <c r="N55" i="250"/>
  <c r="L55" i="250"/>
  <c r="K55" i="250"/>
  <c r="H55" i="250"/>
  <c r="F55" i="250"/>
  <c r="P55" i="250" s="1"/>
  <c r="E55" i="250"/>
  <c r="O54" i="250"/>
  <c r="N54" i="250"/>
  <c r="L54" i="250"/>
  <c r="K54" i="250"/>
  <c r="H54" i="250"/>
  <c r="F54" i="250"/>
  <c r="P54" i="250" s="1"/>
  <c r="E54" i="250"/>
  <c r="O53" i="250"/>
  <c r="N53" i="250"/>
  <c r="L53" i="250"/>
  <c r="K53" i="250"/>
  <c r="H53" i="250"/>
  <c r="F53" i="250"/>
  <c r="P53" i="250" s="1"/>
  <c r="E53" i="250"/>
  <c r="O52" i="250"/>
  <c r="N52" i="250"/>
  <c r="L52" i="250"/>
  <c r="K52" i="250"/>
  <c r="H52" i="250"/>
  <c r="F52" i="250"/>
  <c r="P52" i="250" s="1"/>
  <c r="E52" i="250"/>
  <c r="O51" i="250"/>
  <c r="N51" i="250"/>
  <c r="L51" i="250"/>
  <c r="K51" i="250"/>
  <c r="H51" i="250"/>
  <c r="F51" i="250"/>
  <c r="P51" i="250" s="1"/>
  <c r="E51" i="250"/>
  <c r="O50" i="250"/>
  <c r="N50" i="250"/>
  <c r="L50" i="250"/>
  <c r="K50" i="250"/>
  <c r="H50" i="250"/>
  <c r="F50" i="250"/>
  <c r="P50" i="250" s="1"/>
  <c r="E50" i="250"/>
  <c r="O49" i="250"/>
  <c r="N49" i="250"/>
  <c r="L49" i="250"/>
  <c r="K49" i="250"/>
  <c r="H49" i="250"/>
  <c r="F49" i="250"/>
  <c r="P49" i="250" s="1"/>
  <c r="E49" i="250"/>
  <c r="O48" i="250"/>
  <c r="N48" i="250"/>
  <c r="L48" i="250"/>
  <c r="K48" i="250"/>
  <c r="H48" i="250"/>
  <c r="F48" i="250"/>
  <c r="P48" i="250" s="1"/>
  <c r="E48" i="250"/>
  <c r="O47" i="250"/>
  <c r="N47" i="250"/>
  <c r="L47" i="250"/>
  <c r="K47" i="250"/>
  <c r="H47" i="250"/>
  <c r="F47" i="250"/>
  <c r="P47" i="250" s="1"/>
  <c r="E47" i="250"/>
  <c r="O46" i="250"/>
  <c r="N46" i="250"/>
  <c r="L46" i="250"/>
  <c r="K46" i="250"/>
  <c r="H46" i="250"/>
  <c r="F46" i="250"/>
  <c r="P46" i="250" s="1"/>
  <c r="E46" i="250"/>
  <c r="O45" i="250"/>
  <c r="N45" i="250"/>
  <c r="L45" i="250"/>
  <c r="K45" i="250"/>
  <c r="H45" i="250"/>
  <c r="F45" i="250"/>
  <c r="P45" i="250" s="1"/>
  <c r="E45" i="250"/>
  <c r="O44" i="250"/>
  <c r="N44" i="250"/>
  <c r="L44" i="250"/>
  <c r="K44" i="250"/>
  <c r="H44" i="250"/>
  <c r="F44" i="250"/>
  <c r="P44" i="250" s="1"/>
  <c r="E44" i="250"/>
  <c r="O43" i="250"/>
  <c r="N43" i="250"/>
  <c r="L43" i="250"/>
  <c r="K43" i="250"/>
  <c r="H43" i="250"/>
  <c r="F43" i="250"/>
  <c r="P43" i="250" s="1"/>
  <c r="E43" i="250"/>
  <c r="O42" i="250"/>
  <c r="N42" i="250"/>
  <c r="L42" i="250"/>
  <c r="K42" i="250"/>
  <c r="H42" i="250"/>
  <c r="F42" i="250"/>
  <c r="P42" i="250" s="1"/>
  <c r="E42" i="250"/>
  <c r="O41" i="250"/>
  <c r="N41" i="250"/>
  <c r="L41" i="250"/>
  <c r="K41" i="250"/>
  <c r="H41" i="250"/>
  <c r="F41" i="250"/>
  <c r="P41" i="250" s="1"/>
  <c r="E41" i="250"/>
  <c r="O40" i="250"/>
  <c r="N40" i="250"/>
  <c r="L40" i="250"/>
  <c r="K40" i="250"/>
  <c r="H40" i="250"/>
  <c r="F40" i="250"/>
  <c r="P40" i="250" s="1"/>
  <c r="E40" i="250"/>
  <c r="O39" i="250"/>
  <c r="N39" i="250"/>
  <c r="L39" i="250"/>
  <c r="K39" i="250"/>
  <c r="H39" i="250"/>
  <c r="F39" i="250"/>
  <c r="P39" i="250" s="1"/>
  <c r="E39" i="250"/>
  <c r="O38" i="250"/>
  <c r="N38" i="250"/>
  <c r="L38" i="250"/>
  <c r="K38" i="250"/>
  <c r="H38" i="250"/>
  <c r="F38" i="250"/>
  <c r="P38" i="250" s="1"/>
  <c r="E38" i="250"/>
  <c r="O37" i="250"/>
  <c r="N37" i="250"/>
  <c r="L37" i="250"/>
  <c r="K37" i="250"/>
  <c r="H37" i="250"/>
  <c r="F37" i="250"/>
  <c r="P37" i="250" s="1"/>
  <c r="O36" i="250"/>
  <c r="N36" i="250"/>
  <c r="L36" i="250"/>
  <c r="K36" i="250"/>
  <c r="H36" i="250"/>
  <c r="O34" i="250"/>
  <c r="N34" i="250"/>
  <c r="K34" i="250"/>
  <c r="H34" i="250"/>
  <c r="F34" i="250"/>
  <c r="P34" i="250" s="1"/>
  <c r="E34" i="250"/>
  <c r="O33" i="250"/>
  <c r="N33" i="250"/>
  <c r="K33" i="250"/>
  <c r="H33" i="250"/>
  <c r="F33" i="250"/>
  <c r="P33" i="250" s="1"/>
  <c r="E33" i="250"/>
  <c r="O32" i="250"/>
  <c r="N32" i="250"/>
  <c r="K32" i="250"/>
  <c r="H32" i="250"/>
  <c r="F32" i="250"/>
  <c r="P32" i="250" s="1"/>
  <c r="E32" i="250"/>
  <c r="O31" i="250"/>
  <c r="N31" i="250"/>
  <c r="K31" i="250"/>
  <c r="H31" i="250"/>
  <c r="F31" i="250"/>
  <c r="P31" i="250" s="1"/>
  <c r="E31" i="250"/>
  <c r="O30" i="250"/>
  <c r="N30" i="250"/>
  <c r="K30" i="250"/>
  <c r="H30" i="250"/>
  <c r="F30" i="250"/>
  <c r="P30" i="250" s="1"/>
  <c r="E30" i="250"/>
  <c r="P28" i="250"/>
  <c r="J28" i="250"/>
  <c r="D28" i="250"/>
  <c r="L28" i="250" s="1"/>
  <c r="M28" i="250" s="1"/>
  <c r="C28" i="250"/>
  <c r="H28" i="250" s="1"/>
  <c r="I28" i="250" s="1"/>
  <c r="O28" i="250" s="1"/>
  <c r="A28" i="250"/>
  <c r="P27" i="250"/>
  <c r="J27" i="250"/>
  <c r="D27" i="250"/>
  <c r="L27" i="250" s="1"/>
  <c r="M27" i="250" s="1"/>
  <c r="C27" i="250"/>
  <c r="H27" i="250" s="1"/>
  <c r="I27" i="250" s="1"/>
  <c r="O27" i="250" s="1"/>
  <c r="A27" i="250"/>
  <c r="P26" i="250"/>
  <c r="J26" i="250"/>
  <c r="E26" i="250" a="1"/>
  <c r="E26" i="250" s="1"/>
  <c r="D26" i="250"/>
  <c r="L26" i="250" s="1"/>
  <c r="M26" i="250" s="1"/>
  <c r="C26" i="250"/>
  <c r="H26" i="250" s="1"/>
  <c r="I26" i="250" s="1"/>
  <c r="O26" i="250" s="1"/>
  <c r="P25" i="250"/>
  <c r="J25" i="250"/>
  <c r="E25" i="250" a="1"/>
  <c r="E25" i="250" s="1"/>
  <c r="D25" i="250"/>
  <c r="L25" i="250" s="1"/>
  <c r="M25" i="250" s="1"/>
  <c r="C25" i="250"/>
  <c r="F25" i="250" s="1"/>
  <c r="P24" i="250"/>
  <c r="J24" i="250"/>
  <c r="E24" i="250" a="1"/>
  <c r="E24" i="250" s="1"/>
  <c r="D24" i="250"/>
  <c r="L24" i="250" s="1"/>
  <c r="M24" i="250" s="1"/>
  <c r="C24" i="250"/>
  <c r="H24" i="250" s="1"/>
  <c r="I24" i="250" s="1"/>
  <c r="O24" i="250" s="1"/>
  <c r="P23" i="250"/>
  <c r="J23" i="250"/>
  <c r="E23" i="250" a="1"/>
  <c r="E23" i="250" s="1"/>
  <c r="D23" i="250"/>
  <c r="L23" i="250" s="1"/>
  <c r="M23" i="250" s="1"/>
  <c r="C23" i="250"/>
  <c r="F23" i="250" s="1"/>
  <c r="P22" i="250"/>
  <c r="J22" i="250"/>
  <c r="E22" i="250" a="1"/>
  <c r="E22" i="250" s="1"/>
  <c r="D22" i="250"/>
  <c r="L22" i="250" s="1"/>
  <c r="M22" i="250" s="1"/>
  <c r="C22" i="250"/>
  <c r="H22" i="250" s="1"/>
  <c r="I22" i="250" s="1"/>
  <c r="O22" i="250" s="1"/>
  <c r="P21" i="250"/>
  <c r="J21" i="250"/>
  <c r="E21" i="250" a="1"/>
  <c r="E21" i="250" s="1"/>
  <c r="D21" i="250"/>
  <c r="L21" i="250" s="1"/>
  <c r="M21" i="250" s="1"/>
  <c r="C21" i="250"/>
  <c r="F21" i="250" s="1"/>
  <c r="J20" i="250"/>
  <c r="D20" i="250"/>
  <c r="L20" i="250" s="1"/>
  <c r="M20" i="250" s="1"/>
  <c r="C20" i="250"/>
  <c r="H20" i="250" s="1"/>
  <c r="I20" i="250" s="1"/>
  <c r="O20" i="250" s="1"/>
  <c r="L19" i="250"/>
  <c r="M19" i="250" s="1"/>
  <c r="J19" i="250"/>
  <c r="C19" i="250"/>
  <c r="F19" i="250" s="1"/>
  <c r="N17" i="250"/>
  <c r="E17" i="250"/>
  <c r="P17" i="250" s="1"/>
  <c r="P16" i="250"/>
  <c r="N16" i="250"/>
  <c r="E16" i="250"/>
  <c r="N15" i="250"/>
  <c r="J15" i="250"/>
  <c r="J16" i="250" s="1"/>
  <c r="E15" i="250"/>
  <c r="P15" i="250" s="1"/>
  <c r="S14" i="250"/>
  <c r="J14" i="250"/>
  <c r="U6" i="250" s="1"/>
  <c r="P13" i="250"/>
  <c r="O13" i="250"/>
  <c r="J13" i="250"/>
  <c r="P11" i="250"/>
  <c r="J11" i="250"/>
  <c r="S10" i="250"/>
  <c r="J10" i="250"/>
  <c r="E10" i="250"/>
  <c r="S9" i="250"/>
  <c r="O9" i="250"/>
  <c r="J8" i="250"/>
  <c r="J9" i="250" s="1"/>
  <c r="L7" i="250"/>
  <c r="F7" i="250"/>
  <c r="X6" i="250"/>
  <c r="O92" i="250" s="1"/>
  <c r="V6" i="250"/>
  <c r="T6" i="250"/>
  <c r="R6" i="250"/>
  <c r="P5" i="250"/>
  <c r="P14" i="250" s="1"/>
  <c r="N5" i="250"/>
  <c r="M5" i="250"/>
  <c r="K5" i="250"/>
  <c r="J5" i="250"/>
  <c r="N4" i="250"/>
  <c r="M4" i="250"/>
  <c r="J4" i="250"/>
  <c r="F4" i="250"/>
  <c r="E4" i="250"/>
  <c r="E20" i="250" s="1" a="1"/>
  <c r="E20" i="250" s="1"/>
  <c r="P90" i="249"/>
  <c r="O90" i="249"/>
  <c r="K90" i="249"/>
  <c r="I90" i="249"/>
  <c r="G90" i="249"/>
  <c r="P89" i="249"/>
  <c r="O89" i="249"/>
  <c r="K89" i="249"/>
  <c r="I89" i="249"/>
  <c r="G89" i="249"/>
  <c r="P88" i="249"/>
  <c r="O88" i="249"/>
  <c r="K88" i="249"/>
  <c r="I88" i="249"/>
  <c r="G88" i="249"/>
  <c r="P87" i="249"/>
  <c r="O87" i="249"/>
  <c r="K87" i="249"/>
  <c r="I87" i="249"/>
  <c r="G87" i="249"/>
  <c r="P86" i="249"/>
  <c r="O86" i="249"/>
  <c r="K86" i="249"/>
  <c r="I86" i="249"/>
  <c r="G86" i="249"/>
  <c r="P85" i="249"/>
  <c r="O85" i="249"/>
  <c r="K85" i="249"/>
  <c r="I85" i="249"/>
  <c r="G85" i="249"/>
  <c r="P84" i="249"/>
  <c r="O84" i="249"/>
  <c r="K84" i="249"/>
  <c r="I84" i="249"/>
  <c r="G84" i="249"/>
  <c r="P83" i="249"/>
  <c r="O83" i="249"/>
  <c r="K83" i="249"/>
  <c r="I83" i="249"/>
  <c r="G83" i="249"/>
  <c r="P82" i="249"/>
  <c r="O82" i="249"/>
  <c r="K82" i="249"/>
  <c r="I82" i="249"/>
  <c r="G82" i="249"/>
  <c r="P81" i="249"/>
  <c r="O81" i="249"/>
  <c r="K81" i="249"/>
  <c r="I81" i="249"/>
  <c r="G81" i="249"/>
  <c r="P80" i="249"/>
  <c r="O80" i="249"/>
  <c r="K80" i="249"/>
  <c r="I80" i="249"/>
  <c r="G80" i="249"/>
  <c r="P79" i="249"/>
  <c r="O79" i="249"/>
  <c r="K79" i="249"/>
  <c r="I79" i="249"/>
  <c r="G79" i="249"/>
  <c r="P78" i="249"/>
  <c r="O78" i="249"/>
  <c r="K78" i="249"/>
  <c r="I78" i="249"/>
  <c r="G78" i="249"/>
  <c r="P77" i="249"/>
  <c r="O77" i="249"/>
  <c r="K77" i="249"/>
  <c r="I77" i="249"/>
  <c r="G77" i="249"/>
  <c r="P76" i="249"/>
  <c r="K76" i="249"/>
  <c r="I76" i="249"/>
  <c r="G76" i="249"/>
  <c r="P75" i="249"/>
  <c r="K75" i="249"/>
  <c r="I75" i="249"/>
  <c r="G75" i="249"/>
  <c r="P74" i="249"/>
  <c r="K74" i="249"/>
  <c r="I74" i="249"/>
  <c r="G74" i="249"/>
  <c r="P73" i="249"/>
  <c r="K73" i="249"/>
  <c r="I73" i="249"/>
  <c r="G73" i="249"/>
  <c r="P71" i="249"/>
  <c r="O71" i="249"/>
  <c r="K71" i="249"/>
  <c r="G71" i="249"/>
  <c r="P70" i="249"/>
  <c r="O70" i="249"/>
  <c r="N70" i="249"/>
  <c r="K70" i="249"/>
  <c r="G70" i="249"/>
  <c r="P69" i="249"/>
  <c r="O69" i="249"/>
  <c r="N69" i="249"/>
  <c r="K69" i="249"/>
  <c r="G69" i="249"/>
  <c r="N67" i="249"/>
  <c r="H66" i="249"/>
  <c r="S13" i="249" s="1"/>
  <c r="F66" i="249" a="1"/>
  <c r="F66" i="249" s="1"/>
  <c r="P65" i="249"/>
  <c r="L65" i="249"/>
  <c r="L66" i="249" s="1"/>
  <c r="K65" i="249"/>
  <c r="E65" i="249"/>
  <c r="O64" i="249"/>
  <c r="M64" i="249"/>
  <c r="L64" i="249"/>
  <c r="P64" i="249" s="1"/>
  <c r="K64" i="249"/>
  <c r="J64" i="249"/>
  <c r="H64" i="249"/>
  <c r="I64" i="249" s="1"/>
  <c r="E64" i="249"/>
  <c r="P57" i="249"/>
  <c r="O56" i="249"/>
  <c r="N56" i="249"/>
  <c r="L56" i="249"/>
  <c r="K56" i="249"/>
  <c r="H56" i="249"/>
  <c r="F56" i="249"/>
  <c r="P56" i="249" s="1"/>
  <c r="E56" i="249"/>
  <c r="O55" i="249"/>
  <c r="N55" i="249"/>
  <c r="L55" i="249"/>
  <c r="K55" i="249"/>
  <c r="H55" i="249"/>
  <c r="F55" i="249"/>
  <c r="P55" i="249" s="1"/>
  <c r="E55" i="249"/>
  <c r="O54" i="249"/>
  <c r="N54" i="249"/>
  <c r="L54" i="249"/>
  <c r="K54" i="249"/>
  <c r="H54" i="249"/>
  <c r="F54" i="249"/>
  <c r="P54" i="249" s="1"/>
  <c r="E54" i="249"/>
  <c r="O53" i="249"/>
  <c r="N53" i="249"/>
  <c r="L53" i="249"/>
  <c r="K53" i="249"/>
  <c r="H53" i="249"/>
  <c r="F53" i="249"/>
  <c r="P53" i="249" s="1"/>
  <c r="E53" i="249"/>
  <c r="O52" i="249"/>
  <c r="N52" i="249"/>
  <c r="L52" i="249"/>
  <c r="K52" i="249"/>
  <c r="H52" i="249"/>
  <c r="F52" i="249"/>
  <c r="P52" i="249" s="1"/>
  <c r="E52" i="249"/>
  <c r="O51" i="249"/>
  <c r="N51" i="249"/>
  <c r="L51" i="249"/>
  <c r="K51" i="249"/>
  <c r="H51" i="249"/>
  <c r="F51" i="249"/>
  <c r="P51" i="249" s="1"/>
  <c r="E51" i="249"/>
  <c r="O50" i="249"/>
  <c r="N50" i="249"/>
  <c r="L50" i="249"/>
  <c r="K50" i="249"/>
  <c r="H50" i="249"/>
  <c r="F50" i="249"/>
  <c r="P50" i="249" s="1"/>
  <c r="E50" i="249"/>
  <c r="O49" i="249"/>
  <c r="N49" i="249"/>
  <c r="L49" i="249"/>
  <c r="K49" i="249"/>
  <c r="H49" i="249"/>
  <c r="F49" i="249"/>
  <c r="P49" i="249" s="1"/>
  <c r="E49" i="249"/>
  <c r="O48" i="249"/>
  <c r="N48" i="249"/>
  <c r="L48" i="249"/>
  <c r="K48" i="249"/>
  <c r="H48" i="249"/>
  <c r="F48" i="249"/>
  <c r="P48" i="249" s="1"/>
  <c r="E48" i="249"/>
  <c r="O47" i="249"/>
  <c r="N47" i="249"/>
  <c r="L47" i="249"/>
  <c r="K47" i="249"/>
  <c r="H47" i="249"/>
  <c r="F47" i="249"/>
  <c r="P47" i="249" s="1"/>
  <c r="E47" i="249"/>
  <c r="O46" i="249"/>
  <c r="N46" i="249"/>
  <c r="L46" i="249"/>
  <c r="K46" i="249"/>
  <c r="H46" i="249"/>
  <c r="F46" i="249"/>
  <c r="P46" i="249" s="1"/>
  <c r="E46" i="249"/>
  <c r="O45" i="249"/>
  <c r="N45" i="249"/>
  <c r="L45" i="249"/>
  <c r="K45" i="249"/>
  <c r="H45" i="249"/>
  <c r="F45" i="249"/>
  <c r="P45" i="249" s="1"/>
  <c r="E45" i="249"/>
  <c r="O44" i="249"/>
  <c r="N44" i="249"/>
  <c r="L44" i="249"/>
  <c r="K44" i="249"/>
  <c r="H44" i="249"/>
  <c r="F44" i="249"/>
  <c r="P44" i="249" s="1"/>
  <c r="E44" i="249"/>
  <c r="O43" i="249"/>
  <c r="N43" i="249"/>
  <c r="L43" i="249"/>
  <c r="K43" i="249"/>
  <c r="H43" i="249"/>
  <c r="F43" i="249"/>
  <c r="P43" i="249" s="1"/>
  <c r="E43" i="249"/>
  <c r="O42" i="249"/>
  <c r="N42" i="249"/>
  <c r="L42" i="249"/>
  <c r="K42" i="249"/>
  <c r="H42" i="249"/>
  <c r="F42" i="249"/>
  <c r="P42" i="249" s="1"/>
  <c r="E42" i="249"/>
  <c r="O41" i="249"/>
  <c r="N41" i="249"/>
  <c r="L41" i="249"/>
  <c r="K41" i="249"/>
  <c r="H41" i="249"/>
  <c r="F41" i="249"/>
  <c r="P41" i="249" s="1"/>
  <c r="E41" i="249"/>
  <c r="O40" i="249"/>
  <c r="N40" i="249"/>
  <c r="L40" i="249"/>
  <c r="K40" i="249"/>
  <c r="H40" i="249"/>
  <c r="F40" i="249"/>
  <c r="P40" i="249" s="1"/>
  <c r="E40" i="249"/>
  <c r="O39" i="249"/>
  <c r="N39" i="249"/>
  <c r="L39" i="249"/>
  <c r="K39" i="249"/>
  <c r="H39" i="249"/>
  <c r="F39" i="249"/>
  <c r="P39" i="249" s="1"/>
  <c r="E39" i="249"/>
  <c r="O38" i="249"/>
  <c r="N38" i="249"/>
  <c r="L38" i="249"/>
  <c r="K38" i="249"/>
  <c r="H38" i="249"/>
  <c r="F38" i="249"/>
  <c r="P38" i="249" s="1"/>
  <c r="E38" i="249"/>
  <c r="O37" i="249"/>
  <c r="N37" i="249"/>
  <c r="L37" i="249"/>
  <c r="K37" i="249"/>
  <c r="H37" i="249"/>
  <c r="F37" i="249"/>
  <c r="P37" i="249" s="1"/>
  <c r="E37" i="249"/>
  <c r="O36" i="249"/>
  <c r="N36" i="249"/>
  <c r="L36" i="249"/>
  <c r="K36" i="249"/>
  <c r="H36" i="249"/>
  <c r="O34" i="249"/>
  <c r="N34" i="249"/>
  <c r="K34" i="249"/>
  <c r="H34" i="249"/>
  <c r="F34" i="249"/>
  <c r="P34" i="249" s="1"/>
  <c r="E34" i="249"/>
  <c r="O33" i="249"/>
  <c r="N33" i="249"/>
  <c r="K33" i="249"/>
  <c r="H33" i="249"/>
  <c r="F33" i="249"/>
  <c r="P33" i="249" s="1"/>
  <c r="E33" i="249"/>
  <c r="O32" i="249"/>
  <c r="N32" i="249"/>
  <c r="K32" i="249"/>
  <c r="H32" i="249"/>
  <c r="F32" i="249"/>
  <c r="P32" i="249" s="1"/>
  <c r="E32" i="249"/>
  <c r="O31" i="249"/>
  <c r="N31" i="249"/>
  <c r="K31" i="249"/>
  <c r="H31" i="249"/>
  <c r="F31" i="249"/>
  <c r="P31" i="249" s="1"/>
  <c r="E31" i="249"/>
  <c r="O30" i="249"/>
  <c r="N30" i="249"/>
  <c r="K30" i="249"/>
  <c r="H30" i="249"/>
  <c r="F30" i="249"/>
  <c r="P30" i="249" s="1"/>
  <c r="E30" i="249"/>
  <c r="P28" i="249"/>
  <c r="J28" i="249"/>
  <c r="D28" i="249"/>
  <c r="L28" i="249" s="1"/>
  <c r="M28" i="249" s="1"/>
  <c r="C28" i="249"/>
  <c r="H28" i="249" s="1"/>
  <c r="I28" i="249" s="1"/>
  <c r="O28" i="249" s="1"/>
  <c r="A28" i="249"/>
  <c r="P27" i="249"/>
  <c r="J27" i="249"/>
  <c r="D27" i="249"/>
  <c r="L27" i="249" s="1"/>
  <c r="M27" i="249" s="1"/>
  <c r="C27" i="249"/>
  <c r="F27" i="249" s="1"/>
  <c r="A27" i="249"/>
  <c r="P26" i="249"/>
  <c r="J26" i="249"/>
  <c r="E26" i="249" a="1"/>
  <c r="E26" i="249" s="1"/>
  <c r="D26" i="249"/>
  <c r="L26" i="249" s="1"/>
  <c r="M26" i="249" s="1"/>
  <c r="C26" i="249"/>
  <c r="H26" i="249" s="1"/>
  <c r="I26" i="249" s="1"/>
  <c r="O26" i="249" s="1"/>
  <c r="P25" i="249"/>
  <c r="J25" i="249"/>
  <c r="E25" i="249" a="1"/>
  <c r="E25" i="249" s="1"/>
  <c r="D25" i="249"/>
  <c r="L25" i="249" s="1"/>
  <c r="M25" i="249" s="1"/>
  <c r="C25" i="249"/>
  <c r="F25" i="249" s="1"/>
  <c r="P24" i="249"/>
  <c r="J24" i="249"/>
  <c r="E24" i="249" a="1"/>
  <c r="E24" i="249" s="1"/>
  <c r="D24" i="249"/>
  <c r="L24" i="249" s="1"/>
  <c r="M24" i="249" s="1"/>
  <c r="C24" i="249"/>
  <c r="H24" i="249" s="1"/>
  <c r="I24" i="249" s="1"/>
  <c r="O24" i="249" s="1"/>
  <c r="P23" i="249"/>
  <c r="J23" i="249"/>
  <c r="E23" i="249" a="1"/>
  <c r="E23" i="249" s="1"/>
  <c r="D23" i="249"/>
  <c r="L23" i="249" s="1"/>
  <c r="M23" i="249" s="1"/>
  <c r="C23" i="249"/>
  <c r="F23" i="249" s="1"/>
  <c r="P22" i="249"/>
  <c r="J22" i="249"/>
  <c r="E22" i="249" a="1"/>
  <c r="E22" i="249" s="1"/>
  <c r="D22" i="249"/>
  <c r="L22" i="249" s="1"/>
  <c r="M22" i="249" s="1"/>
  <c r="C22" i="249"/>
  <c r="H22" i="249" s="1"/>
  <c r="I22" i="249" s="1"/>
  <c r="O22" i="249" s="1"/>
  <c r="P21" i="249"/>
  <c r="J21" i="249"/>
  <c r="E21" i="249" a="1"/>
  <c r="E21" i="249" s="1"/>
  <c r="D21" i="249"/>
  <c r="L21" i="249" s="1"/>
  <c r="M21" i="249" s="1"/>
  <c r="C21" i="249"/>
  <c r="F21" i="249" s="1"/>
  <c r="P20" i="249"/>
  <c r="J20" i="249"/>
  <c r="D20" i="249"/>
  <c r="L20" i="249" s="1"/>
  <c r="M20" i="249" s="1"/>
  <c r="C20" i="249"/>
  <c r="H20" i="249" s="1"/>
  <c r="I20" i="249" s="1"/>
  <c r="O20" i="249" s="1"/>
  <c r="P19" i="249"/>
  <c r="M19" i="249"/>
  <c r="L19" i="249"/>
  <c r="J19" i="249"/>
  <c r="C19" i="249"/>
  <c r="F19" i="249" s="1"/>
  <c r="N17" i="249"/>
  <c r="E17" i="249"/>
  <c r="P17" i="249" s="1"/>
  <c r="P16" i="249"/>
  <c r="N16" i="249"/>
  <c r="E16" i="249"/>
  <c r="N15" i="249"/>
  <c r="J15" i="249"/>
  <c r="J16" i="249" s="1"/>
  <c r="E15" i="249"/>
  <c r="P15" i="249" s="1"/>
  <c r="S14" i="249"/>
  <c r="J14" i="249"/>
  <c r="P13" i="249"/>
  <c r="O13" i="249"/>
  <c r="J13" i="249"/>
  <c r="P11" i="249"/>
  <c r="J11" i="249"/>
  <c r="S10" i="249"/>
  <c r="P10" i="249"/>
  <c r="J10" i="249"/>
  <c r="E10" i="249"/>
  <c r="S9" i="249"/>
  <c r="O9" i="249"/>
  <c r="P8" i="249"/>
  <c r="J8" i="249"/>
  <c r="J9" i="249" s="1"/>
  <c r="L7" i="249"/>
  <c r="F7" i="249"/>
  <c r="X6" i="249"/>
  <c r="O92" i="249" s="1"/>
  <c r="V6" i="249"/>
  <c r="U6" i="249"/>
  <c r="T6" i="249"/>
  <c r="R6" i="249"/>
  <c r="P5" i="249"/>
  <c r="P14" i="249" s="1"/>
  <c r="N5" i="249"/>
  <c r="M5" i="249"/>
  <c r="K5" i="249"/>
  <c r="J5" i="249"/>
  <c r="N4" i="249"/>
  <c r="M4" i="249"/>
  <c r="J4" i="249"/>
  <c r="F4" i="249"/>
  <c r="E4" i="249"/>
  <c r="E5" i="249" s="1"/>
  <c r="O73" i="264" l="1"/>
  <c r="S7" i="264" s="1"/>
  <c r="P66" i="264" a="1"/>
  <c r="P66" i="264" s="1"/>
  <c r="P91" i="264" s="1"/>
  <c r="P91" i="263"/>
  <c r="Z6" i="263" s="1"/>
  <c r="P2" i="263" s="1"/>
  <c r="P92" i="263" s="1"/>
  <c r="P66" i="252" a="1"/>
  <c r="P66" i="252" s="1"/>
  <c r="P91" i="252" s="1"/>
  <c r="I66" i="252"/>
  <c r="O74" i="252" s="1"/>
  <c r="S7" i="252" s="1"/>
  <c r="E2" i="251"/>
  <c r="E2" i="254"/>
  <c r="P66" i="254" a="1"/>
  <c r="P66" i="254" s="1"/>
  <c r="S13" i="254"/>
  <c r="O73" i="254"/>
  <c r="S7" i="254" s="1"/>
  <c r="E7" i="250" a="1"/>
  <c r="E7" i="250" s="1"/>
  <c r="P7" i="250" s="1" a="1"/>
  <c r="P7" i="250" s="1"/>
  <c r="E19" i="250" a="1"/>
  <c r="E19" i="250" s="1"/>
  <c r="E37" i="250"/>
  <c r="P8" i="250"/>
  <c r="P10" i="250"/>
  <c r="P19" i="250"/>
  <c r="P20" i="250"/>
  <c r="O73" i="262"/>
  <c r="S7" i="262" s="1"/>
  <c r="O73" i="261"/>
  <c r="S7" i="261" s="1"/>
  <c r="P91" i="257"/>
  <c r="W6" i="257" s="1"/>
  <c r="P91" i="253"/>
  <c r="Z6" i="253" s="1"/>
  <c r="P2" i="253" s="1"/>
  <c r="P92" i="253" s="1"/>
  <c r="E2" i="253"/>
  <c r="O73" i="259"/>
  <c r="O74" i="259"/>
  <c r="P91" i="259"/>
  <c r="Z6" i="259" s="1"/>
  <c r="P2" i="259" s="1"/>
  <c r="P92" i="259" s="1"/>
  <c r="Z6" i="264"/>
  <c r="P2" i="264" s="1"/>
  <c r="P92" i="264" s="1"/>
  <c r="W6" i="264"/>
  <c r="Z6" i="262"/>
  <c r="P2" i="262" s="1"/>
  <c r="P92" i="262" s="1"/>
  <c r="W6" i="262"/>
  <c r="E2" i="261"/>
  <c r="P7" i="261" a="1"/>
  <c r="P7" i="261" s="1"/>
  <c r="P91" i="261" s="1"/>
  <c r="E2" i="259"/>
  <c r="I19" i="257"/>
  <c r="O19" i="257" s="1"/>
  <c r="S10" i="257"/>
  <c r="S13" i="257"/>
  <c r="I66" i="257"/>
  <c r="Z6" i="256"/>
  <c r="P2" i="256" s="1"/>
  <c r="P92" i="256" s="1"/>
  <c r="W6" i="256"/>
  <c r="O73" i="256"/>
  <c r="O74" i="256"/>
  <c r="O75" i="256"/>
  <c r="P91" i="254"/>
  <c r="Z6" i="254" s="1"/>
  <c r="P2" i="254" s="1"/>
  <c r="P92" i="254" s="1"/>
  <c r="O77" i="253"/>
  <c r="O76" i="253"/>
  <c r="O74" i="253"/>
  <c r="O75" i="253"/>
  <c r="O73" i="253"/>
  <c r="Z6" i="252"/>
  <c r="P2" i="252" s="1"/>
  <c r="P92" i="252" s="1"/>
  <c r="W6" i="252"/>
  <c r="P91" i="251"/>
  <c r="W6" i="251" s="1"/>
  <c r="S13" i="251"/>
  <c r="I66" i="251"/>
  <c r="E19" i="249" a="1"/>
  <c r="E19" i="249" s="1"/>
  <c r="M11" i="250"/>
  <c r="S6" i="250" s="1"/>
  <c r="M11" i="249"/>
  <c r="S6" i="249" s="1"/>
  <c r="E36" i="249"/>
  <c r="N7" i="249"/>
  <c r="S12" i="249" s="1"/>
  <c r="J7" i="250"/>
  <c r="J67" i="250"/>
  <c r="P64" i="250"/>
  <c r="P67" i="250" s="1"/>
  <c r="H66" i="250"/>
  <c r="P66" i="250" s="1" a="1"/>
  <c r="P66" i="250" s="1"/>
  <c r="L65" i="250"/>
  <c r="L66" i="250" s="1"/>
  <c r="L67" i="250" s="1"/>
  <c r="K14" i="250"/>
  <c r="S11" i="250"/>
  <c r="H19" i="250"/>
  <c r="I19" i="250" s="1"/>
  <c r="O19" i="250" s="1"/>
  <c r="H21" i="250"/>
  <c r="I21" i="250" s="1"/>
  <c r="O21" i="250" s="1"/>
  <c r="H23" i="250"/>
  <c r="I23" i="250" s="1"/>
  <c r="O23" i="250" s="1"/>
  <c r="H25" i="250"/>
  <c r="I25" i="250" s="1"/>
  <c r="O25" i="250" s="1"/>
  <c r="S13" i="250"/>
  <c r="E36" i="250"/>
  <c r="N7" i="250"/>
  <c r="S12" i="250" s="1"/>
  <c r="F36" i="250"/>
  <c r="P36" i="250" s="1"/>
  <c r="E64" i="250"/>
  <c r="F27" i="250"/>
  <c r="A7" i="250"/>
  <c r="E9" i="250"/>
  <c r="P9" i="250" s="1"/>
  <c r="F20" i="250"/>
  <c r="F22" i="250"/>
  <c r="F24" i="250"/>
  <c r="F26" i="250"/>
  <c r="E5" i="250"/>
  <c r="F28" i="250"/>
  <c r="L67" i="249"/>
  <c r="J67" i="249"/>
  <c r="K14" i="249"/>
  <c r="S11" i="249"/>
  <c r="P67" i="249"/>
  <c r="E7" i="249" a="1"/>
  <c r="E7" i="249" s="1"/>
  <c r="P7" i="249" s="1" a="1"/>
  <c r="P7" i="249" s="1"/>
  <c r="H19" i="249"/>
  <c r="I19" i="249" s="1"/>
  <c r="O19" i="249" s="1"/>
  <c r="H21" i="249"/>
  <c r="I21" i="249" s="1"/>
  <c r="O21" i="249" s="1"/>
  <c r="H23" i="249"/>
  <c r="I23" i="249" s="1"/>
  <c r="O23" i="249" s="1"/>
  <c r="H25" i="249"/>
  <c r="I25" i="249" s="1"/>
  <c r="O25" i="249" s="1"/>
  <c r="A7" i="249"/>
  <c r="H27" i="249"/>
  <c r="I27" i="249" s="1"/>
  <c r="O27" i="249" s="1"/>
  <c r="P66" i="249" a="1"/>
  <c r="P66" i="249" s="1"/>
  <c r="J7" i="249"/>
  <c r="I66" i="249"/>
  <c r="F36" i="249"/>
  <c r="P36" i="249" s="1"/>
  <c r="F28" i="249"/>
  <c r="E9" i="249"/>
  <c r="P9" i="249" s="1"/>
  <c r="F20" i="249"/>
  <c r="F22" i="249"/>
  <c r="F24" i="249"/>
  <c r="F26" i="249"/>
  <c r="E20" i="249" a="1"/>
  <c r="E20" i="249" s="1"/>
  <c r="W6" i="263" l="1"/>
  <c r="S7" i="256"/>
  <c r="W6" i="253"/>
  <c r="Z6" i="257"/>
  <c r="P2" i="257" s="1"/>
  <c r="P92" i="257" s="1"/>
  <c r="S7" i="259"/>
  <c r="W6" i="259"/>
  <c r="W6" i="261"/>
  <c r="Z6" i="261"/>
  <c r="P2" i="261" s="1"/>
  <c r="P92" i="261" s="1"/>
  <c r="O76" i="257"/>
  <c r="O75" i="257"/>
  <c r="O74" i="257"/>
  <c r="O73" i="257"/>
  <c r="W6" i="254"/>
  <c r="S7" i="253"/>
  <c r="Z6" i="251"/>
  <c r="P2" i="251" s="1"/>
  <c r="P92" i="251" s="1"/>
  <c r="O75" i="251"/>
  <c r="O74" i="251"/>
  <c r="O76" i="251"/>
  <c r="O73" i="251"/>
  <c r="O77" i="251"/>
  <c r="E2" i="250"/>
  <c r="I66" i="250"/>
  <c r="O76" i="250" s="1"/>
  <c r="P91" i="249"/>
  <c r="Z6" i="249" s="1"/>
  <c r="P2" i="249" s="1"/>
  <c r="P92" i="249" s="1"/>
  <c r="P91" i="250"/>
  <c r="W6" i="250" s="1"/>
  <c r="O75" i="249"/>
  <c r="O76" i="249"/>
  <c r="E2" i="249"/>
  <c r="S7" i="257" l="1"/>
  <c r="S7" i="251"/>
  <c r="O75" i="250"/>
  <c r="W6" i="249"/>
  <c r="Z6" i="250"/>
  <c r="P2" i="250" s="1"/>
  <c r="P92" i="250" s="1"/>
  <c r="P90" i="248" l="1"/>
  <c r="O90" i="248"/>
  <c r="K90" i="248"/>
  <c r="I90" i="248"/>
  <c r="G90" i="248"/>
  <c r="P89" i="248"/>
  <c r="O89" i="248"/>
  <c r="K89" i="248"/>
  <c r="I89" i="248"/>
  <c r="G89" i="248"/>
  <c r="P88" i="248"/>
  <c r="O88" i="248"/>
  <c r="K88" i="248"/>
  <c r="I88" i="248"/>
  <c r="G88" i="248"/>
  <c r="P87" i="248"/>
  <c r="O87" i="248"/>
  <c r="K87" i="248"/>
  <c r="I87" i="248"/>
  <c r="G87" i="248"/>
  <c r="P86" i="248"/>
  <c r="O86" i="248"/>
  <c r="K86" i="248"/>
  <c r="I86" i="248"/>
  <c r="G86" i="248"/>
  <c r="P85" i="248"/>
  <c r="O85" i="248"/>
  <c r="K85" i="248"/>
  <c r="I85" i="248"/>
  <c r="G85" i="248"/>
  <c r="P84" i="248"/>
  <c r="O84" i="248"/>
  <c r="K84" i="248"/>
  <c r="I84" i="248"/>
  <c r="G84" i="248"/>
  <c r="P83" i="248"/>
  <c r="O83" i="248"/>
  <c r="K83" i="248"/>
  <c r="I83" i="248"/>
  <c r="G83" i="248"/>
  <c r="P82" i="248"/>
  <c r="O82" i="248"/>
  <c r="K82" i="248"/>
  <c r="I82" i="248"/>
  <c r="G82" i="248"/>
  <c r="P81" i="248"/>
  <c r="O81" i="248"/>
  <c r="K81" i="248"/>
  <c r="I81" i="248"/>
  <c r="G81" i="248"/>
  <c r="P80" i="248"/>
  <c r="O80" i="248"/>
  <c r="K80" i="248"/>
  <c r="I80" i="248"/>
  <c r="G80" i="248"/>
  <c r="P79" i="248"/>
  <c r="O79" i="248"/>
  <c r="K79" i="248"/>
  <c r="I79" i="248"/>
  <c r="G79" i="248"/>
  <c r="P78" i="248"/>
  <c r="O78" i="248"/>
  <c r="K78" i="248"/>
  <c r="I78" i="248"/>
  <c r="G78" i="248"/>
  <c r="P77" i="248"/>
  <c r="O77" i="248"/>
  <c r="K77" i="248"/>
  <c r="I77" i="248"/>
  <c r="G77" i="248"/>
  <c r="P76" i="248"/>
  <c r="O76" i="248"/>
  <c r="K76" i="248"/>
  <c r="I76" i="248"/>
  <c r="G76" i="248"/>
  <c r="P75" i="248"/>
  <c r="O75" i="248"/>
  <c r="K75" i="248"/>
  <c r="I75" i="248"/>
  <c r="G75" i="248"/>
  <c r="P74" i="248"/>
  <c r="K74" i="248"/>
  <c r="I74" i="248"/>
  <c r="G74" i="248"/>
  <c r="P73" i="248"/>
  <c r="K73" i="248"/>
  <c r="I73" i="248"/>
  <c r="G73" i="248"/>
  <c r="P71" i="248"/>
  <c r="O71" i="248"/>
  <c r="K71" i="248"/>
  <c r="G71" i="248"/>
  <c r="P70" i="248"/>
  <c r="O70" i="248"/>
  <c r="N70" i="248"/>
  <c r="K70" i="248"/>
  <c r="G70" i="248"/>
  <c r="P69" i="248"/>
  <c r="O69" i="248"/>
  <c r="N69" i="248"/>
  <c r="K69" i="248"/>
  <c r="G69" i="248"/>
  <c r="N67" i="248"/>
  <c r="F66" i="248" a="1"/>
  <c r="F66" i="248" s="1"/>
  <c r="P65" i="248"/>
  <c r="K65" i="248"/>
  <c r="E65" i="248"/>
  <c r="O64" i="248"/>
  <c r="M64" i="248"/>
  <c r="L64" i="248"/>
  <c r="L65" i="248" s="1"/>
  <c r="L66" i="248" s="1"/>
  <c r="K64" i="248"/>
  <c r="J64" i="248"/>
  <c r="H64" i="248"/>
  <c r="I64" i="248" s="1"/>
  <c r="E57" i="248"/>
  <c r="P57" i="248" s="1"/>
  <c r="O56" i="248"/>
  <c r="N56" i="248"/>
  <c r="L56" i="248"/>
  <c r="K56" i="248"/>
  <c r="H56" i="248"/>
  <c r="F56" i="248"/>
  <c r="P56" i="248" s="1"/>
  <c r="E56" i="248"/>
  <c r="O55" i="248"/>
  <c r="N55" i="248"/>
  <c r="L55" i="248"/>
  <c r="K55" i="248"/>
  <c r="H55" i="248"/>
  <c r="F55" i="248"/>
  <c r="P55" i="248" s="1"/>
  <c r="E55" i="248"/>
  <c r="O54" i="248"/>
  <c r="N54" i="248"/>
  <c r="L54" i="248"/>
  <c r="K54" i="248"/>
  <c r="H54" i="248"/>
  <c r="F54" i="248"/>
  <c r="P54" i="248" s="1"/>
  <c r="E54" i="248"/>
  <c r="O53" i="248"/>
  <c r="N53" i="248"/>
  <c r="L53" i="248"/>
  <c r="K53" i="248"/>
  <c r="H53" i="248"/>
  <c r="F53" i="248"/>
  <c r="P53" i="248" s="1"/>
  <c r="E53" i="248"/>
  <c r="P52" i="248"/>
  <c r="O52" i="248"/>
  <c r="N52" i="248"/>
  <c r="L52" i="248"/>
  <c r="K52" i="248"/>
  <c r="H52" i="248"/>
  <c r="F52" i="248"/>
  <c r="E52" i="248"/>
  <c r="O51" i="248"/>
  <c r="N51" i="248"/>
  <c r="L51" i="248"/>
  <c r="K51" i="248"/>
  <c r="H51" i="248"/>
  <c r="F51" i="248"/>
  <c r="P51" i="248" s="1"/>
  <c r="E51" i="248"/>
  <c r="O50" i="248"/>
  <c r="N50" i="248"/>
  <c r="L50" i="248"/>
  <c r="K50" i="248"/>
  <c r="H50" i="248"/>
  <c r="F50" i="248"/>
  <c r="P50" i="248" s="1"/>
  <c r="E50" i="248"/>
  <c r="P49" i="248"/>
  <c r="O49" i="248"/>
  <c r="N49" i="248"/>
  <c r="L49" i="248"/>
  <c r="K49" i="248"/>
  <c r="H49" i="248"/>
  <c r="F49" i="248"/>
  <c r="E49" i="248"/>
  <c r="O48" i="248"/>
  <c r="N48" i="248"/>
  <c r="L48" i="248"/>
  <c r="K48" i="248"/>
  <c r="H48" i="248"/>
  <c r="F48" i="248"/>
  <c r="P48" i="248" s="1"/>
  <c r="E48" i="248"/>
  <c r="O47" i="248"/>
  <c r="N47" i="248"/>
  <c r="L47" i="248"/>
  <c r="K47" i="248"/>
  <c r="H47" i="248"/>
  <c r="F47" i="248"/>
  <c r="P47" i="248" s="1"/>
  <c r="E47" i="248"/>
  <c r="P46" i="248"/>
  <c r="O46" i="248"/>
  <c r="N46" i="248"/>
  <c r="L46" i="248"/>
  <c r="K46" i="248"/>
  <c r="H46" i="248"/>
  <c r="F46" i="248"/>
  <c r="E46" i="248"/>
  <c r="O45" i="248"/>
  <c r="N45" i="248"/>
  <c r="L45" i="248"/>
  <c r="K45" i="248"/>
  <c r="H45" i="248"/>
  <c r="F45" i="248"/>
  <c r="P45" i="248" s="1"/>
  <c r="E45" i="248"/>
  <c r="O44" i="248"/>
  <c r="N44" i="248"/>
  <c r="L44" i="248"/>
  <c r="K44" i="248"/>
  <c r="H44" i="248"/>
  <c r="F44" i="248"/>
  <c r="P44" i="248" s="1"/>
  <c r="E44" i="248"/>
  <c r="O43" i="248"/>
  <c r="N43" i="248"/>
  <c r="L43" i="248"/>
  <c r="K43" i="248"/>
  <c r="H43" i="248"/>
  <c r="F43" i="248"/>
  <c r="P43" i="248" s="1"/>
  <c r="E43" i="248"/>
  <c r="O42" i="248"/>
  <c r="N42" i="248"/>
  <c r="L42" i="248"/>
  <c r="K42" i="248"/>
  <c r="H42" i="248"/>
  <c r="F42" i="248"/>
  <c r="P42" i="248" s="1"/>
  <c r="E42" i="248"/>
  <c r="O41" i="248"/>
  <c r="N41" i="248"/>
  <c r="L41" i="248"/>
  <c r="K41" i="248"/>
  <c r="H41" i="248"/>
  <c r="F41" i="248"/>
  <c r="P41" i="248" s="1"/>
  <c r="E41" i="248"/>
  <c r="O40" i="248"/>
  <c r="N40" i="248"/>
  <c r="L40" i="248"/>
  <c r="K40" i="248"/>
  <c r="H40" i="248"/>
  <c r="F40" i="248"/>
  <c r="P40" i="248" s="1"/>
  <c r="E40" i="248"/>
  <c r="O39" i="248"/>
  <c r="N39" i="248"/>
  <c r="L39" i="248"/>
  <c r="K39" i="248"/>
  <c r="H39" i="248"/>
  <c r="F39" i="248"/>
  <c r="P39" i="248" s="1"/>
  <c r="E39" i="248"/>
  <c r="O38" i="248"/>
  <c r="N38" i="248"/>
  <c r="L38" i="248"/>
  <c r="K38" i="248"/>
  <c r="H38" i="248"/>
  <c r="E38" i="248"/>
  <c r="O37" i="248"/>
  <c r="N37" i="248"/>
  <c r="L37" i="248"/>
  <c r="K37" i="248"/>
  <c r="H37" i="248"/>
  <c r="F37" i="248"/>
  <c r="P37" i="248" s="1"/>
  <c r="E37" i="248"/>
  <c r="O36" i="248"/>
  <c r="N36" i="248"/>
  <c r="L36" i="248"/>
  <c r="K36" i="248"/>
  <c r="H36" i="248"/>
  <c r="F36" i="248"/>
  <c r="P36" i="248" s="1"/>
  <c r="E36" i="248"/>
  <c r="O34" i="248"/>
  <c r="N34" i="248"/>
  <c r="K34" i="248"/>
  <c r="H34" i="248"/>
  <c r="F34" i="248"/>
  <c r="P34" i="248" s="1"/>
  <c r="E34" i="248"/>
  <c r="O33" i="248"/>
  <c r="N33" i="248"/>
  <c r="K33" i="248"/>
  <c r="H33" i="248"/>
  <c r="F33" i="248"/>
  <c r="P33" i="248" s="1"/>
  <c r="E33" i="248"/>
  <c r="O32" i="248"/>
  <c r="N32" i="248"/>
  <c r="K32" i="248"/>
  <c r="H32" i="248"/>
  <c r="F32" i="248"/>
  <c r="P32" i="248" s="1"/>
  <c r="E32" i="248"/>
  <c r="O31" i="248"/>
  <c r="N31" i="248"/>
  <c r="K31" i="248"/>
  <c r="H31" i="248"/>
  <c r="F31" i="248"/>
  <c r="P31" i="248" s="1"/>
  <c r="E31" i="248"/>
  <c r="O30" i="248"/>
  <c r="N30" i="248"/>
  <c r="K30" i="248"/>
  <c r="H30" i="248"/>
  <c r="F30" i="248"/>
  <c r="P30" i="248" s="1"/>
  <c r="E30" i="248"/>
  <c r="P28" i="248"/>
  <c r="J28" i="248"/>
  <c r="D28" i="248"/>
  <c r="L28" i="248" s="1"/>
  <c r="M28" i="248" s="1"/>
  <c r="C28" i="248"/>
  <c r="H28" i="248" s="1"/>
  <c r="I28" i="248" s="1"/>
  <c r="O28" i="248" s="1"/>
  <c r="A28" i="248"/>
  <c r="P27" i="248"/>
  <c r="J27" i="248"/>
  <c r="D27" i="248"/>
  <c r="L27" i="248" s="1"/>
  <c r="M27" i="248" s="1"/>
  <c r="C27" i="248"/>
  <c r="H27" i="248" s="1"/>
  <c r="I27" i="248" s="1"/>
  <c r="O27" i="248" s="1"/>
  <c r="A27" i="248"/>
  <c r="P26" i="248"/>
  <c r="J26" i="248"/>
  <c r="E26" i="248" a="1"/>
  <c r="E26" i="248" s="1"/>
  <c r="D26" i="248"/>
  <c r="L26" i="248" s="1"/>
  <c r="M26" i="248" s="1"/>
  <c r="C26" i="248"/>
  <c r="F26" i="248" s="1"/>
  <c r="P25" i="248"/>
  <c r="J25" i="248"/>
  <c r="E25" i="248" a="1"/>
  <c r="E25" i="248" s="1"/>
  <c r="D25" i="248"/>
  <c r="L25" i="248" s="1"/>
  <c r="M25" i="248" s="1"/>
  <c r="C25" i="248"/>
  <c r="H25" i="248" s="1"/>
  <c r="I25" i="248" s="1"/>
  <c r="O25" i="248" s="1"/>
  <c r="P24" i="248"/>
  <c r="J24" i="248"/>
  <c r="E24" i="248" a="1"/>
  <c r="E24" i="248" s="1"/>
  <c r="D24" i="248"/>
  <c r="L24" i="248" s="1"/>
  <c r="M24" i="248" s="1"/>
  <c r="C24" i="248"/>
  <c r="H24" i="248" s="1"/>
  <c r="I24" i="248" s="1"/>
  <c r="O24" i="248" s="1"/>
  <c r="P23" i="248"/>
  <c r="J23" i="248"/>
  <c r="E23" i="248" a="1"/>
  <c r="E23" i="248" s="1"/>
  <c r="D23" i="248"/>
  <c r="L23" i="248" s="1"/>
  <c r="M23" i="248" s="1"/>
  <c r="C23" i="248"/>
  <c r="H23" i="248" s="1"/>
  <c r="I23" i="248" s="1"/>
  <c r="O23" i="248" s="1"/>
  <c r="P22" i="248"/>
  <c r="J22" i="248"/>
  <c r="E22" i="248" a="1"/>
  <c r="E22" i="248" s="1"/>
  <c r="D22" i="248"/>
  <c r="L22" i="248" s="1"/>
  <c r="M22" i="248" s="1"/>
  <c r="C22" i="248"/>
  <c r="F22" i="248" s="1"/>
  <c r="P21" i="248"/>
  <c r="J21" i="248"/>
  <c r="E21" i="248" a="1"/>
  <c r="E21" i="248" s="1"/>
  <c r="D21" i="248"/>
  <c r="L21" i="248" s="1"/>
  <c r="M21" i="248" s="1"/>
  <c r="C21" i="248"/>
  <c r="H21" i="248" s="1"/>
  <c r="I21" i="248" s="1"/>
  <c r="O21" i="248" s="1"/>
  <c r="J20" i="248"/>
  <c r="D20" i="248"/>
  <c r="L20" i="248" s="1"/>
  <c r="M20" i="248" s="1"/>
  <c r="C20" i="248"/>
  <c r="H20" i="248" s="1"/>
  <c r="I20" i="248" s="1"/>
  <c r="O20" i="248" s="1"/>
  <c r="J19" i="248"/>
  <c r="D19" i="248"/>
  <c r="L19" i="248" s="1"/>
  <c r="M19" i="248" s="1"/>
  <c r="O73" i="248" s="1"/>
  <c r="C19" i="248"/>
  <c r="H19" i="248" s="1"/>
  <c r="N17" i="248"/>
  <c r="E17" i="248"/>
  <c r="P17" i="248" s="1"/>
  <c r="P16" i="248"/>
  <c r="N16" i="248"/>
  <c r="E16" i="248"/>
  <c r="S14" i="248"/>
  <c r="N15" i="248"/>
  <c r="J15" i="248"/>
  <c r="J16" i="248" s="1"/>
  <c r="E15" i="248"/>
  <c r="P15" i="248" s="1"/>
  <c r="P13" i="248"/>
  <c r="O13" i="248"/>
  <c r="P11" i="248"/>
  <c r="J11" i="248"/>
  <c r="S9" i="248"/>
  <c r="J10" i="248"/>
  <c r="E10" i="248"/>
  <c r="O9" i="248"/>
  <c r="J8" i="248"/>
  <c r="J9" i="248" s="1"/>
  <c r="L7" i="248"/>
  <c r="F7" i="248"/>
  <c r="X6" i="248"/>
  <c r="O92" i="248" s="1"/>
  <c r="V6" i="248"/>
  <c r="T6" i="248"/>
  <c r="R6" i="248"/>
  <c r="P5" i="248"/>
  <c r="P14" i="248" s="1"/>
  <c r="N5" i="248"/>
  <c r="M5" i="248"/>
  <c r="K5" i="248"/>
  <c r="J5" i="248"/>
  <c r="J13" i="248" s="1"/>
  <c r="J14" i="248" s="1"/>
  <c r="U6" i="248" s="1"/>
  <c r="E5" i="248"/>
  <c r="N4" i="248"/>
  <c r="M4" i="248"/>
  <c r="J4" i="248"/>
  <c r="F4" i="248"/>
  <c r="E4" i="248"/>
  <c r="E20" i="248" s="1" a="1"/>
  <c r="E20" i="248" s="1"/>
  <c r="P90" i="247"/>
  <c r="O90" i="247"/>
  <c r="K90" i="247"/>
  <c r="I90" i="247"/>
  <c r="G90" i="247"/>
  <c r="P89" i="247"/>
  <c r="O89" i="247"/>
  <c r="K89" i="247"/>
  <c r="I89" i="247"/>
  <c r="G89" i="247"/>
  <c r="P88" i="247"/>
  <c r="O88" i="247"/>
  <c r="K88" i="247"/>
  <c r="I88" i="247"/>
  <c r="G88" i="247"/>
  <c r="P87" i="247"/>
  <c r="O87" i="247"/>
  <c r="K87" i="247"/>
  <c r="I87" i="247"/>
  <c r="G87" i="247"/>
  <c r="P86" i="247"/>
  <c r="O86" i="247"/>
  <c r="K86" i="247"/>
  <c r="I86" i="247"/>
  <c r="G86" i="247"/>
  <c r="P85" i="247"/>
  <c r="O85" i="247"/>
  <c r="K85" i="247"/>
  <c r="I85" i="247"/>
  <c r="G85" i="247"/>
  <c r="P84" i="247"/>
  <c r="O84" i="247"/>
  <c r="K84" i="247"/>
  <c r="I84" i="247"/>
  <c r="G84" i="247"/>
  <c r="P83" i="247"/>
  <c r="O83" i="247"/>
  <c r="K83" i="247"/>
  <c r="I83" i="247"/>
  <c r="G83" i="247"/>
  <c r="P82" i="247"/>
  <c r="O82" i="247"/>
  <c r="K82" i="247"/>
  <c r="I82" i="247"/>
  <c r="G82" i="247"/>
  <c r="P81" i="247"/>
  <c r="O81" i="247"/>
  <c r="K81" i="247"/>
  <c r="I81" i="247"/>
  <c r="G81" i="247"/>
  <c r="P80" i="247"/>
  <c r="O80" i="247"/>
  <c r="K80" i="247"/>
  <c r="I80" i="247"/>
  <c r="G80" i="247"/>
  <c r="P79" i="247"/>
  <c r="O79" i="247"/>
  <c r="K79" i="247"/>
  <c r="I79" i="247"/>
  <c r="G79" i="247"/>
  <c r="P78" i="247"/>
  <c r="O78" i="247"/>
  <c r="K78" i="247"/>
  <c r="I78" i="247"/>
  <c r="G78" i="247"/>
  <c r="P77" i="247"/>
  <c r="O77" i="247"/>
  <c r="K77" i="247"/>
  <c r="I77" i="247"/>
  <c r="G77" i="247"/>
  <c r="P76" i="247"/>
  <c r="O76" i="247"/>
  <c r="K76" i="247"/>
  <c r="I76" i="247"/>
  <c r="G76" i="247"/>
  <c r="P75" i="247"/>
  <c r="O75" i="247"/>
  <c r="K75" i="247"/>
  <c r="I75" i="247"/>
  <c r="G75" i="247"/>
  <c r="P74" i="247"/>
  <c r="K74" i="247"/>
  <c r="I74" i="247"/>
  <c r="G74" i="247"/>
  <c r="P73" i="247"/>
  <c r="K73" i="247"/>
  <c r="I73" i="247"/>
  <c r="G73" i="247"/>
  <c r="P71" i="247"/>
  <c r="O71" i="247"/>
  <c r="K71" i="247"/>
  <c r="G71" i="247"/>
  <c r="P70" i="247"/>
  <c r="O70" i="247"/>
  <c r="N70" i="247"/>
  <c r="K70" i="247"/>
  <c r="G70" i="247"/>
  <c r="P69" i="247"/>
  <c r="O69" i="247"/>
  <c r="N69" i="247"/>
  <c r="K69" i="247"/>
  <c r="G69" i="247"/>
  <c r="N67" i="247"/>
  <c r="F66" i="247" a="1"/>
  <c r="F66" i="247" s="1"/>
  <c r="P65" i="247"/>
  <c r="K65" i="247"/>
  <c r="E65" i="247"/>
  <c r="O64" i="247"/>
  <c r="M64" i="247"/>
  <c r="L64" i="247"/>
  <c r="P64" i="247" s="1"/>
  <c r="K64" i="247"/>
  <c r="J64" i="247"/>
  <c r="H64" i="247"/>
  <c r="I64" i="247" s="1"/>
  <c r="E64" i="247"/>
  <c r="E57" i="247"/>
  <c r="P57" i="247" s="1"/>
  <c r="O56" i="247"/>
  <c r="N56" i="247"/>
  <c r="L56" i="247"/>
  <c r="K56" i="247"/>
  <c r="H56" i="247"/>
  <c r="F56" i="247"/>
  <c r="P56" i="247" s="1"/>
  <c r="E56" i="247"/>
  <c r="O55" i="247"/>
  <c r="N55" i="247"/>
  <c r="L55" i="247"/>
  <c r="K55" i="247"/>
  <c r="H55" i="247"/>
  <c r="F55" i="247"/>
  <c r="P55" i="247" s="1"/>
  <c r="E55" i="247"/>
  <c r="O54" i="247"/>
  <c r="N54" i="247"/>
  <c r="L54" i="247"/>
  <c r="K54" i="247"/>
  <c r="H54" i="247"/>
  <c r="F54" i="247"/>
  <c r="P54" i="247" s="1"/>
  <c r="E54" i="247"/>
  <c r="O53" i="247"/>
  <c r="N53" i="247"/>
  <c r="L53" i="247"/>
  <c r="K53" i="247"/>
  <c r="H53" i="247"/>
  <c r="F53" i="247"/>
  <c r="P53" i="247" s="1"/>
  <c r="E53" i="247"/>
  <c r="O52" i="247"/>
  <c r="N52" i="247"/>
  <c r="L52" i="247"/>
  <c r="K52" i="247"/>
  <c r="H52" i="247"/>
  <c r="F52" i="247"/>
  <c r="P52" i="247" s="1"/>
  <c r="E52" i="247"/>
  <c r="O51" i="247"/>
  <c r="N51" i="247"/>
  <c r="L51" i="247"/>
  <c r="K51" i="247"/>
  <c r="H51" i="247"/>
  <c r="F51" i="247"/>
  <c r="P51" i="247" s="1"/>
  <c r="E51" i="247"/>
  <c r="O50" i="247"/>
  <c r="N50" i="247"/>
  <c r="L50" i="247"/>
  <c r="K50" i="247"/>
  <c r="H50" i="247"/>
  <c r="F50" i="247"/>
  <c r="P50" i="247" s="1"/>
  <c r="E50" i="247"/>
  <c r="O49" i="247"/>
  <c r="N49" i="247"/>
  <c r="L49" i="247"/>
  <c r="K49" i="247"/>
  <c r="H49" i="247"/>
  <c r="F49" i="247"/>
  <c r="P49" i="247" s="1"/>
  <c r="E49" i="247"/>
  <c r="O48" i="247"/>
  <c r="N48" i="247"/>
  <c r="L48" i="247"/>
  <c r="K48" i="247"/>
  <c r="H48" i="247"/>
  <c r="F48" i="247"/>
  <c r="P48" i="247" s="1"/>
  <c r="E48" i="247"/>
  <c r="O47" i="247"/>
  <c r="N47" i="247"/>
  <c r="L47" i="247"/>
  <c r="K47" i="247"/>
  <c r="H47" i="247"/>
  <c r="F47" i="247"/>
  <c r="P47" i="247" s="1"/>
  <c r="E47" i="247"/>
  <c r="O46" i="247"/>
  <c r="N46" i="247"/>
  <c r="L46" i="247"/>
  <c r="K46" i="247"/>
  <c r="H46" i="247"/>
  <c r="F46" i="247"/>
  <c r="P46" i="247" s="1"/>
  <c r="E46" i="247"/>
  <c r="O45" i="247"/>
  <c r="N45" i="247"/>
  <c r="L45" i="247"/>
  <c r="K45" i="247"/>
  <c r="H45" i="247"/>
  <c r="F45" i="247"/>
  <c r="P45" i="247" s="1"/>
  <c r="E45" i="247"/>
  <c r="O44" i="247"/>
  <c r="N44" i="247"/>
  <c r="L44" i="247"/>
  <c r="K44" i="247"/>
  <c r="H44" i="247"/>
  <c r="F44" i="247"/>
  <c r="P44" i="247" s="1"/>
  <c r="E44" i="247"/>
  <c r="O43" i="247"/>
  <c r="N43" i="247"/>
  <c r="L43" i="247"/>
  <c r="K43" i="247"/>
  <c r="H43" i="247"/>
  <c r="F43" i="247"/>
  <c r="P43" i="247" s="1"/>
  <c r="E43" i="247"/>
  <c r="O42" i="247"/>
  <c r="N42" i="247"/>
  <c r="L42" i="247"/>
  <c r="K42" i="247"/>
  <c r="H42" i="247"/>
  <c r="F42" i="247"/>
  <c r="P42" i="247" s="1"/>
  <c r="E42" i="247"/>
  <c r="O41" i="247"/>
  <c r="N41" i="247"/>
  <c r="L41" i="247"/>
  <c r="K41" i="247"/>
  <c r="H41" i="247"/>
  <c r="F41" i="247"/>
  <c r="P41" i="247" s="1"/>
  <c r="E41" i="247"/>
  <c r="O40" i="247"/>
  <c r="N40" i="247"/>
  <c r="L40" i="247"/>
  <c r="K40" i="247"/>
  <c r="H40" i="247"/>
  <c r="F40" i="247"/>
  <c r="P40" i="247" s="1"/>
  <c r="E40" i="247"/>
  <c r="O39" i="247"/>
  <c r="N39" i="247"/>
  <c r="L39" i="247"/>
  <c r="K39" i="247"/>
  <c r="H39" i="247"/>
  <c r="F39" i="247"/>
  <c r="P39" i="247" s="1"/>
  <c r="E39" i="247"/>
  <c r="O38" i="247"/>
  <c r="N38" i="247"/>
  <c r="L38" i="247"/>
  <c r="K38" i="247"/>
  <c r="H38" i="247"/>
  <c r="F38" i="247"/>
  <c r="P38" i="247" s="1"/>
  <c r="E38" i="247"/>
  <c r="O37" i="247"/>
  <c r="N37" i="247"/>
  <c r="L37" i="247"/>
  <c r="K37" i="247"/>
  <c r="H37" i="247"/>
  <c r="F37" i="247"/>
  <c r="P37" i="247" s="1"/>
  <c r="E37" i="247"/>
  <c r="O36" i="247"/>
  <c r="N36" i="247"/>
  <c r="L36" i="247"/>
  <c r="K36" i="247"/>
  <c r="H36" i="247"/>
  <c r="F36" i="247"/>
  <c r="P36" i="247" s="1"/>
  <c r="E36" i="247"/>
  <c r="O34" i="247"/>
  <c r="N34" i="247"/>
  <c r="K34" i="247"/>
  <c r="H34" i="247"/>
  <c r="F34" i="247"/>
  <c r="P34" i="247" s="1"/>
  <c r="E34" i="247"/>
  <c r="O33" i="247"/>
  <c r="N33" i="247"/>
  <c r="K33" i="247"/>
  <c r="H33" i="247"/>
  <c r="F33" i="247"/>
  <c r="P33" i="247" s="1"/>
  <c r="E33" i="247"/>
  <c r="O32" i="247"/>
  <c r="N32" i="247"/>
  <c r="K32" i="247"/>
  <c r="H32" i="247"/>
  <c r="F32" i="247"/>
  <c r="P32" i="247" s="1"/>
  <c r="E32" i="247"/>
  <c r="O31" i="247"/>
  <c r="N31" i="247"/>
  <c r="K31" i="247"/>
  <c r="H31" i="247"/>
  <c r="F31" i="247"/>
  <c r="P31" i="247" s="1"/>
  <c r="E31" i="247"/>
  <c r="O30" i="247"/>
  <c r="N30" i="247"/>
  <c r="K30" i="247"/>
  <c r="H30" i="247"/>
  <c r="F30" i="247"/>
  <c r="P30" i="247" s="1"/>
  <c r="E30" i="247"/>
  <c r="P28" i="247"/>
  <c r="J28" i="247"/>
  <c r="D28" i="247"/>
  <c r="L28" i="247" s="1"/>
  <c r="M28" i="247" s="1"/>
  <c r="C28" i="247"/>
  <c r="H28" i="247" s="1"/>
  <c r="I28" i="247" s="1"/>
  <c r="O28" i="247" s="1"/>
  <c r="A28" i="247"/>
  <c r="P27" i="247"/>
  <c r="J27" i="247"/>
  <c r="D27" i="247"/>
  <c r="L27" i="247" s="1"/>
  <c r="M27" i="247" s="1"/>
  <c r="C27" i="247"/>
  <c r="H27" i="247" s="1"/>
  <c r="I27" i="247" s="1"/>
  <c r="O27" i="247" s="1"/>
  <c r="A27" i="247"/>
  <c r="P26" i="247"/>
  <c r="J26" i="247"/>
  <c r="E26" i="247" a="1"/>
  <c r="E26" i="247" s="1"/>
  <c r="D26" i="247"/>
  <c r="L26" i="247" s="1"/>
  <c r="M26" i="247" s="1"/>
  <c r="C26" i="247"/>
  <c r="H26" i="247" s="1"/>
  <c r="I26" i="247" s="1"/>
  <c r="O26" i="247" s="1"/>
  <c r="P25" i="247"/>
  <c r="J25" i="247"/>
  <c r="E25" i="247" a="1"/>
  <c r="E25" i="247" s="1"/>
  <c r="D25" i="247"/>
  <c r="L25" i="247" s="1"/>
  <c r="M25" i="247" s="1"/>
  <c r="C25" i="247"/>
  <c r="H25" i="247" s="1"/>
  <c r="I25" i="247" s="1"/>
  <c r="O25" i="247" s="1"/>
  <c r="P24" i="247"/>
  <c r="J24" i="247"/>
  <c r="E24" i="247" a="1"/>
  <c r="E24" i="247" s="1"/>
  <c r="D24" i="247"/>
  <c r="L24" i="247" s="1"/>
  <c r="M24" i="247" s="1"/>
  <c r="C24" i="247"/>
  <c r="H24" i="247" s="1"/>
  <c r="I24" i="247" s="1"/>
  <c r="O24" i="247" s="1"/>
  <c r="P23" i="247"/>
  <c r="J23" i="247"/>
  <c r="E23" i="247" a="1"/>
  <c r="E23" i="247" s="1"/>
  <c r="D23" i="247"/>
  <c r="L23" i="247" s="1"/>
  <c r="M23" i="247" s="1"/>
  <c r="C23" i="247"/>
  <c r="H23" i="247" s="1"/>
  <c r="I23" i="247" s="1"/>
  <c r="O23" i="247" s="1"/>
  <c r="P22" i="247"/>
  <c r="J22" i="247"/>
  <c r="E22" i="247" a="1"/>
  <c r="E22" i="247" s="1"/>
  <c r="D22" i="247"/>
  <c r="L22" i="247" s="1"/>
  <c r="M22" i="247" s="1"/>
  <c r="C22" i="247"/>
  <c r="H22" i="247" s="1"/>
  <c r="I22" i="247" s="1"/>
  <c r="O22" i="247" s="1"/>
  <c r="P21" i="247"/>
  <c r="J21" i="247"/>
  <c r="E21" i="247" a="1"/>
  <c r="E21" i="247" s="1"/>
  <c r="D21" i="247"/>
  <c r="L21" i="247" s="1"/>
  <c r="M21" i="247" s="1"/>
  <c r="C21" i="247"/>
  <c r="H21" i="247" s="1"/>
  <c r="I21" i="247" s="1"/>
  <c r="O21" i="247" s="1"/>
  <c r="J20" i="247"/>
  <c r="D20" i="247"/>
  <c r="L20" i="247" s="1"/>
  <c r="M20" i="247" s="1"/>
  <c r="C20" i="247"/>
  <c r="H20" i="247" s="1"/>
  <c r="I20" i="247" s="1"/>
  <c r="O20" i="247" s="1"/>
  <c r="J19" i="247"/>
  <c r="D19" i="247"/>
  <c r="L19" i="247" s="1"/>
  <c r="M19" i="247" s="1"/>
  <c r="O73" i="247" s="1"/>
  <c r="C19" i="247"/>
  <c r="H19" i="247" s="1"/>
  <c r="N17" i="247"/>
  <c r="E17" i="247"/>
  <c r="P17" i="247" s="1"/>
  <c r="P16" i="247"/>
  <c r="N16" i="247"/>
  <c r="E16" i="247"/>
  <c r="S14" i="247"/>
  <c r="N15" i="247"/>
  <c r="J15" i="247"/>
  <c r="J16" i="247" s="1"/>
  <c r="E15" i="247"/>
  <c r="P15" i="247" s="1"/>
  <c r="P13" i="247"/>
  <c r="O13" i="247"/>
  <c r="J13" i="247"/>
  <c r="J14" i="247" s="1"/>
  <c r="U6" i="247" s="1"/>
  <c r="P11" i="247"/>
  <c r="J11" i="247"/>
  <c r="S9" i="247"/>
  <c r="J10" i="247"/>
  <c r="E10" i="247"/>
  <c r="O9" i="247"/>
  <c r="J8" i="247"/>
  <c r="J9" i="247" s="1"/>
  <c r="L7" i="247"/>
  <c r="F7" i="247"/>
  <c r="X6" i="247"/>
  <c r="O92" i="247" s="1"/>
  <c r="V6" i="247"/>
  <c r="T6" i="247"/>
  <c r="R6" i="247"/>
  <c r="P5" i="247"/>
  <c r="P10" i="247" s="1"/>
  <c r="N5" i="247"/>
  <c r="M5" i="247"/>
  <c r="K5" i="247"/>
  <c r="J5" i="247"/>
  <c r="E5" i="247"/>
  <c r="N4" i="247"/>
  <c r="M4" i="247"/>
  <c r="J4" i="247"/>
  <c r="F4" i="247"/>
  <c r="E4" i="247"/>
  <c r="E20" i="247" s="1" a="1"/>
  <c r="E20" i="247" s="1"/>
  <c r="F38" i="248" l="1"/>
  <c r="P38" i="248" s="1"/>
  <c r="P19" i="247"/>
  <c r="P20" i="247"/>
  <c r="N7" i="247"/>
  <c r="P8" i="247"/>
  <c r="P14" i="247"/>
  <c r="N7" i="248"/>
  <c r="S12" i="248" s="1"/>
  <c r="A7" i="247"/>
  <c r="M11" i="247"/>
  <c r="S6" i="247" s="1"/>
  <c r="M11" i="248"/>
  <c r="S6" i="248" s="1"/>
  <c r="E64" i="248"/>
  <c r="J67" i="248"/>
  <c r="S12" i="247"/>
  <c r="E19" i="248" a="1"/>
  <c r="E19" i="248" s="1"/>
  <c r="P19" i="248"/>
  <c r="P8" i="248"/>
  <c r="P10" i="248"/>
  <c r="P20" i="248"/>
  <c r="L67" i="248"/>
  <c r="P64" i="248"/>
  <c r="P67" i="248" s="1"/>
  <c r="I19" i="248"/>
  <c r="O19" i="248" s="1"/>
  <c r="S10" i="248"/>
  <c r="K14" i="248"/>
  <c r="S11" i="248"/>
  <c r="H66" i="248"/>
  <c r="A7" i="248"/>
  <c r="F27" i="248"/>
  <c r="E7" i="248" a="1"/>
  <c r="E7" i="248" s="1"/>
  <c r="P7" i="248" s="1" a="1"/>
  <c r="P7" i="248" s="1"/>
  <c r="F19" i="248"/>
  <c r="F21" i="248"/>
  <c r="F23" i="248"/>
  <c r="F25" i="248"/>
  <c r="P66" i="248" a="1"/>
  <c r="P66" i="248" s="1"/>
  <c r="J7" i="248"/>
  <c r="F20" i="248"/>
  <c r="H22" i="248"/>
  <c r="I22" i="248" s="1"/>
  <c r="O22" i="248" s="1"/>
  <c r="H26" i="248"/>
  <c r="I26" i="248" s="1"/>
  <c r="O26" i="248" s="1"/>
  <c r="F24" i="248"/>
  <c r="E9" i="248"/>
  <c r="P9" i="248" s="1"/>
  <c r="F28" i="248"/>
  <c r="J67" i="247"/>
  <c r="L65" i="247"/>
  <c r="L66" i="247" s="1"/>
  <c r="L67" i="247" s="1"/>
  <c r="H66" i="247"/>
  <c r="S13" i="247" s="1"/>
  <c r="K14" i="247"/>
  <c r="S11" i="247"/>
  <c r="I19" i="247"/>
  <c r="O19" i="247" s="1"/>
  <c r="S10" i="247"/>
  <c r="P67" i="247"/>
  <c r="E19" i="247" a="1"/>
  <c r="E19" i="247" s="1"/>
  <c r="F27" i="247"/>
  <c r="E7" i="247" a="1"/>
  <c r="E7" i="247" s="1"/>
  <c r="P7" i="247" s="1" a="1"/>
  <c r="P7" i="247" s="1"/>
  <c r="F19" i="247"/>
  <c r="F21" i="247"/>
  <c r="F23" i="247"/>
  <c r="F25" i="247"/>
  <c r="J7" i="247"/>
  <c r="E9" i="247"/>
  <c r="P9" i="247" s="1"/>
  <c r="F20" i="247"/>
  <c r="F22" i="247"/>
  <c r="F24" i="247"/>
  <c r="F26" i="247"/>
  <c r="F28" i="247"/>
  <c r="P66" i="247" l="1" a="1"/>
  <c r="P66" i="247" s="1"/>
  <c r="I66" i="247"/>
  <c r="O74" i="247" s="1"/>
  <c r="S7" i="247" s="1"/>
  <c r="P91" i="248"/>
  <c r="Z6" i="248" s="1"/>
  <c r="P2" i="248" s="1"/>
  <c r="P92" i="248" s="1"/>
  <c r="S13" i="248"/>
  <c r="I66" i="248"/>
  <c r="O74" i="248" s="1"/>
  <c r="S7" i="248" s="1"/>
  <c r="E2" i="248"/>
  <c r="P91" i="247"/>
  <c r="W6" i="247" s="1"/>
  <c r="E2" i="247"/>
  <c r="W6" i="248" l="1"/>
  <c r="Z6" i="247"/>
  <c r="P2" i="247" s="1"/>
  <c r="P92" i="247" s="1"/>
  <c r="P90" i="244" l="1"/>
  <c r="O90" i="244"/>
  <c r="K90" i="244"/>
  <c r="I90" i="244"/>
  <c r="G90" i="244"/>
  <c r="P89" i="244"/>
  <c r="O89" i="244"/>
  <c r="K89" i="244"/>
  <c r="I89" i="244"/>
  <c r="G89" i="244"/>
  <c r="P88" i="244"/>
  <c r="O88" i="244"/>
  <c r="K88" i="244"/>
  <c r="I88" i="244"/>
  <c r="G88" i="244"/>
  <c r="P87" i="244"/>
  <c r="O87" i="244"/>
  <c r="K87" i="244"/>
  <c r="I87" i="244"/>
  <c r="G87" i="244"/>
  <c r="P86" i="244"/>
  <c r="O86" i="244"/>
  <c r="K86" i="244"/>
  <c r="I86" i="244"/>
  <c r="G86" i="244"/>
  <c r="P85" i="244"/>
  <c r="O85" i="244"/>
  <c r="K85" i="244"/>
  <c r="I85" i="244"/>
  <c r="G85" i="244"/>
  <c r="P84" i="244"/>
  <c r="O84" i="244"/>
  <c r="K84" i="244"/>
  <c r="I84" i="244"/>
  <c r="G84" i="244"/>
  <c r="P83" i="244"/>
  <c r="O83" i="244"/>
  <c r="K83" i="244"/>
  <c r="I83" i="244"/>
  <c r="G83" i="244"/>
  <c r="P82" i="244"/>
  <c r="O82" i="244"/>
  <c r="K82" i="244"/>
  <c r="I82" i="244"/>
  <c r="G82" i="244"/>
  <c r="P81" i="244"/>
  <c r="O81" i="244"/>
  <c r="K81" i="244"/>
  <c r="I81" i="244"/>
  <c r="G81" i="244"/>
  <c r="P80" i="244"/>
  <c r="O80" i="244"/>
  <c r="K80" i="244"/>
  <c r="I80" i="244"/>
  <c r="G80" i="244"/>
  <c r="P79" i="244"/>
  <c r="O79" i="244"/>
  <c r="K79" i="244"/>
  <c r="I79" i="244"/>
  <c r="G79" i="244"/>
  <c r="P78" i="244"/>
  <c r="O78" i="244"/>
  <c r="K78" i="244"/>
  <c r="I78" i="244"/>
  <c r="G78" i="244"/>
  <c r="P77" i="244"/>
  <c r="K77" i="244"/>
  <c r="I77" i="244"/>
  <c r="G77" i="244"/>
  <c r="P76" i="244"/>
  <c r="K76" i="244"/>
  <c r="I76" i="244"/>
  <c r="G76" i="244"/>
  <c r="P75" i="244"/>
  <c r="K75" i="244"/>
  <c r="I75" i="244"/>
  <c r="G75" i="244"/>
  <c r="P74" i="244"/>
  <c r="K74" i="244"/>
  <c r="I74" i="244"/>
  <c r="G74" i="244"/>
  <c r="P73" i="244"/>
  <c r="K73" i="244"/>
  <c r="I73" i="244"/>
  <c r="G73" i="244"/>
  <c r="P71" i="244"/>
  <c r="O71" i="244"/>
  <c r="K71" i="244"/>
  <c r="G71" i="244"/>
  <c r="P70" i="244"/>
  <c r="O70" i="244"/>
  <c r="N70" i="244"/>
  <c r="K70" i="244"/>
  <c r="G70" i="244"/>
  <c r="P69" i="244"/>
  <c r="O69" i="244"/>
  <c r="N69" i="244"/>
  <c r="K69" i="244"/>
  <c r="G69" i="244"/>
  <c r="N67" i="244"/>
  <c r="F66" i="244" a="1"/>
  <c r="F66" i="244" s="1"/>
  <c r="P65" i="244"/>
  <c r="K65" i="244"/>
  <c r="E65" i="244"/>
  <c r="O64" i="244"/>
  <c r="M64" i="244"/>
  <c r="L64" i="244"/>
  <c r="E64" i="244" s="1"/>
  <c r="K64" i="244"/>
  <c r="J64" i="244"/>
  <c r="H64" i="244"/>
  <c r="I64" i="244" s="1"/>
  <c r="E57" i="244"/>
  <c r="P57" i="244" s="1"/>
  <c r="O56" i="244"/>
  <c r="N56" i="244"/>
  <c r="L56" i="244"/>
  <c r="K56" i="244"/>
  <c r="H56" i="244"/>
  <c r="F56" i="244"/>
  <c r="P56" i="244" s="1"/>
  <c r="E56" i="244"/>
  <c r="O55" i="244"/>
  <c r="N55" i="244"/>
  <c r="L55" i="244"/>
  <c r="K55" i="244"/>
  <c r="H55" i="244"/>
  <c r="F55" i="244"/>
  <c r="P55" i="244" s="1"/>
  <c r="E55" i="244"/>
  <c r="O54" i="244"/>
  <c r="N54" i="244"/>
  <c r="L54" i="244"/>
  <c r="K54" i="244"/>
  <c r="H54" i="244"/>
  <c r="F54" i="244"/>
  <c r="P54" i="244" s="1"/>
  <c r="E54" i="244"/>
  <c r="O53" i="244"/>
  <c r="N53" i="244"/>
  <c r="L53" i="244"/>
  <c r="K53" i="244"/>
  <c r="H53" i="244"/>
  <c r="F53" i="244"/>
  <c r="P53" i="244" s="1"/>
  <c r="E53" i="244"/>
  <c r="O52" i="244"/>
  <c r="N52" i="244"/>
  <c r="L52" i="244"/>
  <c r="K52" i="244"/>
  <c r="H52" i="244"/>
  <c r="F52" i="244"/>
  <c r="P52" i="244" s="1"/>
  <c r="E52" i="244"/>
  <c r="O51" i="244"/>
  <c r="N51" i="244"/>
  <c r="L51" i="244"/>
  <c r="K51" i="244"/>
  <c r="H51" i="244"/>
  <c r="F51" i="244"/>
  <c r="P51" i="244" s="1"/>
  <c r="E51" i="244"/>
  <c r="O50" i="244"/>
  <c r="N50" i="244"/>
  <c r="L50" i="244"/>
  <c r="K50" i="244"/>
  <c r="H50" i="244"/>
  <c r="F50" i="244"/>
  <c r="P50" i="244" s="1"/>
  <c r="E50" i="244"/>
  <c r="O49" i="244"/>
  <c r="N49" i="244"/>
  <c r="L49" i="244"/>
  <c r="K49" i="244"/>
  <c r="H49" i="244"/>
  <c r="F49" i="244"/>
  <c r="P49" i="244" s="1"/>
  <c r="E49" i="244"/>
  <c r="O48" i="244"/>
  <c r="N48" i="244"/>
  <c r="L48" i="244"/>
  <c r="K48" i="244"/>
  <c r="H48" i="244"/>
  <c r="F48" i="244"/>
  <c r="P48" i="244" s="1"/>
  <c r="E48" i="244"/>
  <c r="O47" i="244"/>
  <c r="N47" i="244"/>
  <c r="L47" i="244"/>
  <c r="K47" i="244"/>
  <c r="H47" i="244"/>
  <c r="F47" i="244"/>
  <c r="P47" i="244" s="1"/>
  <c r="E47" i="244"/>
  <c r="O46" i="244"/>
  <c r="N46" i="244"/>
  <c r="L46" i="244"/>
  <c r="K46" i="244"/>
  <c r="H46" i="244"/>
  <c r="F46" i="244"/>
  <c r="P46" i="244" s="1"/>
  <c r="E46" i="244"/>
  <c r="O45" i="244"/>
  <c r="N45" i="244"/>
  <c r="L45" i="244"/>
  <c r="K45" i="244"/>
  <c r="H45" i="244"/>
  <c r="F45" i="244"/>
  <c r="P45" i="244" s="1"/>
  <c r="E45" i="244"/>
  <c r="O44" i="244"/>
  <c r="N44" i="244"/>
  <c r="L44" i="244"/>
  <c r="K44" i="244"/>
  <c r="H44" i="244"/>
  <c r="F44" i="244"/>
  <c r="P44" i="244" s="1"/>
  <c r="E44" i="244"/>
  <c r="O43" i="244"/>
  <c r="N43" i="244"/>
  <c r="L43" i="244"/>
  <c r="K43" i="244"/>
  <c r="H43" i="244"/>
  <c r="F43" i="244"/>
  <c r="P43" i="244" s="1"/>
  <c r="E43" i="244"/>
  <c r="O42" i="244"/>
  <c r="N42" i="244"/>
  <c r="L42" i="244"/>
  <c r="K42" i="244"/>
  <c r="H42" i="244"/>
  <c r="F42" i="244"/>
  <c r="P42" i="244" s="1"/>
  <c r="E42" i="244"/>
  <c r="O41" i="244"/>
  <c r="N41" i="244"/>
  <c r="L41" i="244"/>
  <c r="K41" i="244"/>
  <c r="H41" i="244"/>
  <c r="F41" i="244"/>
  <c r="P41" i="244" s="1"/>
  <c r="E41" i="244"/>
  <c r="O40" i="244"/>
  <c r="N40" i="244"/>
  <c r="L40" i="244"/>
  <c r="K40" i="244"/>
  <c r="H40" i="244"/>
  <c r="F40" i="244"/>
  <c r="P40" i="244" s="1"/>
  <c r="E40" i="244"/>
  <c r="O39" i="244"/>
  <c r="N39" i="244"/>
  <c r="L39" i="244"/>
  <c r="K39" i="244"/>
  <c r="H39" i="244"/>
  <c r="E39" i="244"/>
  <c r="O38" i="244"/>
  <c r="N38" i="244"/>
  <c r="L38" i="244"/>
  <c r="K38" i="244"/>
  <c r="H38" i="244"/>
  <c r="F38" i="244"/>
  <c r="P38" i="244" s="1"/>
  <c r="E38" i="244"/>
  <c r="O37" i="244"/>
  <c r="N37" i="244"/>
  <c r="L37" i="244"/>
  <c r="K37" i="244"/>
  <c r="H37" i="244"/>
  <c r="E37" i="244"/>
  <c r="O36" i="244"/>
  <c r="N36" i="244"/>
  <c r="L36" i="244"/>
  <c r="K36" i="244"/>
  <c r="H36" i="244"/>
  <c r="F36" i="244"/>
  <c r="P36" i="244" s="1"/>
  <c r="E36" i="244"/>
  <c r="O34" i="244"/>
  <c r="N34" i="244"/>
  <c r="K34" i="244"/>
  <c r="H34" i="244"/>
  <c r="F34" i="244"/>
  <c r="P34" i="244" s="1"/>
  <c r="E34" i="244"/>
  <c r="O33" i="244"/>
  <c r="N33" i="244"/>
  <c r="K33" i="244"/>
  <c r="H33" i="244"/>
  <c r="F33" i="244"/>
  <c r="P33" i="244" s="1"/>
  <c r="E33" i="244"/>
  <c r="O32" i="244"/>
  <c r="N32" i="244"/>
  <c r="K32" i="244"/>
  <c r="H32" i="244"/>
  <c r="F32" i="244"/>
  <c r="P32" i="244" s="1"/>
  <c r="E32" i="244"/>
  <c r="O31" i="244"/>
  <c r="N31" i="244"/>
  <c r="K31" i="244"/>
  <c r="H31" i="244"/>
  <c r="F31" i="244"/>
  <c r="P31" i="244" s="1"/>
  <c r="E31" i="244"/>
  <c r="O30" i="244"/>
  <c r="N30" i="244"/>
  <c r="K30" i="244"/>
  <c r="H30" i="244"/>
  <c r="F30" i="244"/>
  <c r="P30" i="244" s="1"/>
  <c r="E30" i="244"/>
  <c r="P28" i="244"/>
  <c r="J28" i="244"/>
  <c r="D28" i="244"/>
  <c r="L28" i="244" s="1"/>
  <c r="M28" i="244" s="1"/>
  <c r="C28" i="244"/>
  <c r="F28" i="244" s="1"/>
  <c r="A28" i="244"/>
  <c r="P27" i="244"/>
  <c r="J27" i="244"/>
  <c r="D27" i="244"/>
  <c r="L27" i="244" s="1"/>
  <c r="M27" i="244" s="1"/>
  <c r="C27" i="244"/>
  <c r="H27" i="244" s="1"/>
  <c r="I27" i="244" s="1"/>
  <c r="O27" i="244" s="1"/>
  <c r="A27" i="244"/>
  <c r="P26" i="244"/>
  <c r="J26" i="244"/>
  <c r="E26" i="244" a="1"/>
  <c r="E26" i="244" s="1"/>
  <c r="D26" i="244"/>
  <c r="L26" i="244" s="1"/>
  <c r="M26" i="244" s="1"/>
  <c r="C26" i="244"/>
  <c r="H26" i="244" s="1"/>
  <c r="I26" i="244" s="1"/>
  <c r="O26" i="244" s="1"/>
  <c r="P25" i="244"/>
  <c r="J25" i="244"/>
  <c r="E25" i="244" a="1"/>
  <c r="E25" i="244" s="1"/>
  <c r="D25" i="244"/>
  <c r="L25" i="244" s="1"/>
  <c r="M25" i="244" s="1"/>
  <c r="C25" i="244"/>
  <c r="F25" i="244" s="1"/>
  <c r="P24" i="244"/>
  <c r="J24" i="244"/>
  <c r="E24" i="244" a="1"/>
  <c r="E24" i="244" s="1"/>
  <c r="D24" i="244"/>
  <c r="L24" i="244" s="1"/>
  <c r="M24" i="244" s="1"/>
  <c r="C24" i="244"/>
  <c r="F24" i="244" s="1"/>
  <c r="P23" i="244"/>
  <c r="J23" i="244"/>
  <c r="E23" i="244" a="1"/>
  <c r="E23" i="244" s="1"/>
  <c r="D23" i="244"/>
  <c r="L23" i="244" s="1"/>
  <c r="M23" i="244" s="1"/>
  <c r="C23" i="244"/>
  <c r="F23" i="244" s="1"/>
  <c r="P22" i="244"/>
  <c r="J22" i="244"/>
  <c r="E22" i="244" a="1"/>
  <c r="E22" i="244" s="1"/>
  <c r="D22" i="244"/>
  <c r="L22" i="244" s="1"/>
  <c r="M22" i="244" s="1"/>
  <c r="C22" i="244"/>
  <c r="H22" i="244" s="1"/>
  <c r="I22" i="244" s="1"/>
  <c r="O22" i="244" s="1"/>
  <c r="P21" i="244"/>
  <c r="J21" i="244"/>
  <c r="E21" i="244" a="1"/>
  <c r="E21" i="244" s="1"/>
  <c r="D21" i="244"/>
  <c r="L21" i="244" s="1"/>
  <c r="M21" i="244" s="1"/>
  <c r="C21" i="244"/>
  <c r="F21" i="244" s="1"/>
  <c r="J20" i="244"/>
  <c r="D20" i="244"/>
  <c r="L20" i="244" s="1"/>
  <c r="M20" i="244" s="1"/>
  <c r="C20" i="244"/>
  <c r="H20" i="244" s="1"/>
  <c r="I20" i="244" s="1"/>
  <c r="O20" i="244" s="1"/>
  <c r="J19" i="244"/>
  <c r="D19" i="244"/>
  <c r="L19" i="244" s="1"/>
  <c r="M19" i="244" s="1"/>
  <c r="C19" i="244"/>
  <c r="F19" i="244" s="1"/>
  <c r="N17" i="244"/>
  <c r="E17" i="244"/>
  <c r="P17" i="244" s="1"/>
  <c r="P16" i="244"/>
  <c r="N16" i="244"/>
  <c r="E16" i="244"/>
  <c r="N15" i="244"/>
  <c r="J15" i="244"/>
  <c r="J16" i="244" s="1"/>
  <c r="E15" i="244"/>
  <c r="P15" i="244" s="1"/>
  <c r="S14" i="244"/>
  <c r="P13" i="244"/>
  <c r="O13" i="244"/>
  <c r="P11" i="244"/>
  <c r="J11" i="244"/>
  <c r="J10" i="244"/>
  <c r="E10" i="244"/>
  <c r="S9" i="244"/>
  <c r="O9" i="244"/>
  <c r="J8" i="244"/>
  <c r="J9" i="244" s="1"/>
  <c r="L7" i="244"/>
  <c r="F7" i="244"/>
  <c r="X6" i="244"/>
  <c r="O92" i="244" s="1"/>
  <c r="V6" i="244"/>
  <c r="T6" i="244"/>
  <c r="R6" i="244"/>
  <c r="P5" i="244"/>
  <c r="P8" i="244" s="1"/>
  <c r="N5" i="244"/>
  <c r="M5" i="244"/>
  <c r="K5" i="244"/>
  <c r="J5" i="244"/>
  <c r="J13" i="244" s="1"/>
  <c r="J14" i="244" s="1"/>
  <c r="U6" i="244" s="1"/>
  <c r="E5" i="244"/>
  <c r="N4" i="244"/>
  <c r="M4" i="244"/>
  <c r="J4" i="244"/>
  <c r="F4" i="244"/>
  <c r="E4" i="244"/>
  <c r="F37" i="244" s="1"/>
  <c r="P37" i="244" s="1"/>
  <c r="P90" i="243"/>
  <c r="O90" i="243"/>
  <c r="K90" i="243"/>
  <c r="I90" i="243"/>
  <c r="G90" i="243"/>
  <c r="P89" i="243"/>
  <c r="O89" i="243"/>
  <c r="K89" i="243"/>
  <c r="I89" i="243"/>
  <c r="G89" i="243"/>
  <c r="P88" i="243"/>
  <c r="O88" i="243"/>
  <c r="K88" i="243"/>
  <c r="I88" i="243"/>
  <c r="G88" i="243"/>
  <c r="P87" i="243"/>
  <c r="O87" i="243"/>
  <c r="K87" i="243"/>
  <c r="I87" i="243"/>
  <c r="G87" i="243"/>
  <c r="P86" i="243"/>
  <c r="O86" i="243"/>
  <c r="K86" i="243"/>
  <c r="I86" i="243"/>
  <c r="G86" i="243"/>
  <c r="P85" i="243"/>
  <c r="O85" i="243"/>
  <c r="K85" i="243"/>
  <c r="I85" i="243"/>
  <c r="G85" i="243"/>
  <c r="P84" i="243"/>
  <c r="O84" i="243"/>
  <c r="K84" i="243"/>
  <c r="I84" i="243"/>
  <c r="G84" i="243"/>
  <c r="P83" i="243"/>
  <c r="O83" i="243"/>
  <c r="K83" i="243"/>
  <c r="I83" i="243"/>
  <c r="G83" i="243"/>
  <c r="P82" i="243"/>
  <c r="O82" i="243"/>
  <c r="K82" i="243"/>
  <c r="I82" i="243"/>
  <c r="G82" i="243"/>
  <c r="P81" i="243"/>
  <c r="O81" i="243"/>
  <c r="K81" i="243"/>
  <c r="I81" i="243"/>
  <c r="G81" i="243"/>
  <c r="P80" i="243"/>
  <c r="O80" i="243"/>
  <c r="K80" i="243"/>
  <c r="I80" i="243"/>
  <c r="G80" i="243"/>
  <c r="P79" i="243"/>
  <c r="O79" i="243"/>
  <c r="K79" i="243"/>
  <c r="I79" i="243"/>
  <c r="G79" i="243"/>
  <c r="P78" i="243"/>
  <c r="O78" i="243"/>
  <c r="K78" i="243"/>
  <c r="I78" i="243"/>
  <c r="G78" i="243"/>
  <c r="P77" i="243"/>
  <c r="K77" i="243"/>
  <c r="I77" i="243"/>
  <c r="G77" i="243"/>
  <c r="P76" i="243"/>
  <c r="K76" i="243"/>
  <c r="I76" i="243"/>
  <c r="G76" i="243"/>
  <c r="P75" i="243"/>
  <c r="K75" i="243"/>
  <c r="I75" i="243"/>
  <c r="G75" i="243"/>
  <c r="P74" i="243"/>
  <c r="K74" i="243"/>
  <c r="I74" i="243"/>
  <c r="G74" i="243"/>
  <c r="P73" i="243"/>
  <c r="K73" i="243"/>
  <c r="I73" i="243"/>
  <c r="G73" i="243"/>
  <c r="P71" i="243"/>
  <c r="O71" i="243"/>
  <c r="K71" i="243"/>
  <c r="G71" i="243"/>
  <c r="P70" i="243"/>
  <c r="O70" i="243"/>
  <c r="N70" i="243"/>
  <c r="K70" i="243"/>
  <c r="G70" i="243"/>
  <c r="P69" i="243"/>
  <c r="O69" i="243"/>
  <c r="N69" i="243"/>
  <c r="K69" i="243"/>
  <c r="G69" i="243"/>
  <c r="N67" i="243"/>
  <c r="F66" i="243" a="1"/>
  <c r="F66" i="243" s="1"/>
  <c r="P65" i="243"/>
  <c r="K65" i="243"/>
  <c r="E65" i="243"/>
  <c r="O64" i="243"/>
  <c r="M64" i="243"/>
  <c r="L64" i="243"/>
  <c r="P64" i="243" s="1"/>
  <c r="K64" i="243"/>
  <c r="J64" i="243"/>
  <c r="H64" i="243"/>
  <c r="I64" i="243" s="1"/>
  <c r="E57" i="243"/>
  <c r="P57" i="243" s="1"/>
  <c r="O56" i="243"/>
  <c r="N56" i="243"/>
  <c r="L56" i="243"/>
  <c r="K56" i="243"/>
  <c r="H56" i="243"/>
  <c r="F56" i="243"/>
  <c r="P56" i="243" s="1"/>
  <c r="E56" i="243"/>
  <c r="O55" i="243"/>
  <c r="N55" i="243"/>
  <c r="L55" i="243"/>
  <c r="K55" i="243"/>
  <c r="H55" i="243"/>
  <c r="F55" i="243"/>
  <c r="P55" i="243" s="1"/>
  <c r="E55" i="243"/>
  <c r="O54" i="243"/>
  <c r="N54" i="243"/>
  <c r="L54" i="243"/>
  <c r="K54" i="243"/>
  <c r="H54" i="243"/>
  <c r="F54" i="243"/>
  <c r="P54" i="243" s="1"/>
  <c r="E54" i="243"/>
  <c r="O53" i="243"/>
  <c r="N53" i="243"/>
  <c r="L53" i="243"/>
  <c r="K53" i="243"/>
  <c r="H53" i="243"/>
  <c r="F53" i="243"/>
  <c r="P53" i="243" s="1"/>
  <c r="E53" i="243"/>
  <c r="O52" i="243"/>
  <c r="N52" i="243"/>
  <c r="L52" i="243"/>
  <c r="K52" i="243"/>
  <c r="H52" i="243"/>
  <c r="F52" i="243"/>
  <c r="P52" i="243" s="1"/>
  <c r="E52" i="243"/>
  <c r="O51" i="243"/>
  <c r="N51" i="243"/>
  <c r="L51" i="243"/>
  <c r="K51" i="243"/>
  <c r="H51" i="243"/>
  <c r="F51" i="243"/>
  <c r="P51" i="243" s="1"/>
  <c r="E51" i="243"/>
  <c r="O50" i="243"/>
  <c r="N50" i="243"/>
  <c r="L50" i="243"/>
  <c r="K50" i="243"/>
  <c r="H50" i="243"/>
  <c r="F50" i="243"/>
  <c r="P50" i="243" s="1"/>
  <c r="E50" i="243"/>
  <c r="O49" i="243"/>
  <c r="N49" i="243"/>
  <c r="L49" i="243"/>
  <c r="K49" i="243"/>
  <c r="H49" i="243"/>
  <c r="F49" i="243"/>
  <c r="P49" i="243" s="1"/>
  <c r="E49" i="243"/>
  <c r="O48" i="243"/>
  <c r="N48" i="243"/>
  <c r="L48" i="243"/>
  <c r="K48" i="243"/>
  <c r="H48" i="243"/>
  <c r="F48" i="243"/>
  <c r="P48" i="243" s="1"/>
  <c r="E48" i="243"/>
  <c r="O47" i="243"/>
  <c r="N47" i="243"/>
  <c r="L47" i="243"/>
  <c r="K47" i="243"/>
  <c r="H47" i="243"/>
  <c r="F47" i="243"/>
  <c r="P47" i="243" s="1"/>
  <c r="E47" i="243"/>
  <c r="O46" i="243"/>
  <c r="N46" i="243"/>
  <c r="L46" i="243"/>
  <c r="K46" i="243"/>
  <c r="H46" i="243"/>
  <c r="F46" i="243"/>
  <c r="P46" i="243" s="1"/>
  <c r="E46" i="243"/>
  <c r="O45" i="243"/>
  <c r="N45" i="243"/>
  <c r="L45" i="243"/>
  <c r="K45" i="243"/>
  <c r="H45" i="243"/>
  <c r="F45" i="243"/>
  <c r="P45" i="243" s="1"/>
  <c r="E45" i="243"/>
  <c r="O44" i="243"/>
  <c r="N44" i="243"/>
  <c r="L44" i="243"/>
  <c r="K44" i="243"/>
  <c r="H44" i="243"/>
  <c r="F44" i="243"/>
  <c r="P44" i="243" s="1"/>
  <c r="E44" i="243"/>
  <c r="O43" i="243"/>
  <c r="N43" i="243"/>
  <c r="L43" i="243"/>
  <c r="K43" i="243"/>
  <c r="H43" i="243"/>
  <c r="F43" i="243"/>
  <c r="P43" i="243" s="1"/>
  <c r="E43" i="243"/>
  <c r="O42" i="243"/>
  <c r="N42" i="243"/>
  <c r="L42" i="243"/>
  <c r="K42" i="243"/>
  <c r="H42" i="243"/>
  <c r="F42" i="243"/>
  <c r="P42" i="243" s="1"/>
  <c r="E42" i="243"/>
  <c r="O41" i="243"/>
  <c r="N41" i="243"/>
  <c r="L41" i="243"/>
  <c r="K41" i="243"/>
  <c r="H41" i="243"/>
  <c r="F41" i="243"/>
  <c r="P41" i="243" s="1"/>
  <c r="E41" i="243"/>
  <c r="O40" i="243"/>
  <c r="N40" i="243"/>
  <c r="L40" i="243"/>
  <c r="K40" i="243"/>
  <c r="H40" i="243"/>
  <c r="F40" i="243"/>
  <c r="P40" i="243" s="1"/>
  <c r="E40" i="243"/>
  <c r="O39" i="243"/>
  <c r="N39" i="243"/>
  <c r="L39" i="243"/>
  <c r="K39" i="243"/>
  <c r="H39" i="243"/>
  <c r="F39" i="243"/>
  <c r="P39" i="243" s="1"/>
  <c r="E39" i="243"/>
  <c r="O38" i="243"/>
  <c r="N38" i="243"/>
  <c r="L38" i="243"/>
  <c r="K38" i="243"/>
  <c r="H38" i="243"/>
  <c r="E38" i="243"/>
  <c r="O37" i="243"/>
  <c r="N37" i="243"/>
  <c r="L37" i="243"/>
  <c r="K37" i="243"/>
  <c r="H37" i="243"/>
  <c r="E37" i="243"/>
  <c r="O36" i="243"/>
  <c r="N36" i="243"/>
  <c r="L36" i="243"/>
  <c r="K36" i="243"/>
  <c r="H36" i="243"/>
  <c r="F36" i="243"/>
  <c r="P36" i="243" s="1"/>
  <c r="E36" i="243"/>
  <c r="O34" i="243"/>
  <c r="N34" i="243"/>
  <c r="K34" i="243"/>
  <c r="H34" i="243"/>
  <c r="F34" i="243"/>
  <c r="P34" i="243" s="1"/>
  <c r="E34" i="243"/>
  <c r="O33" i="243"/>
  <c r="N33" i="243"/>
  <c r="K33" i="243"/>
  <c r="H33" i="243"/>
  <c r="F33" i="243"/>
  <c r="P33" i="243" s="1"/>
  <c r="E33" i="243"/>
  <c r="O32" i="243"/>
  <c r="N32" i="243"/>
  <c r="K32" i="243"/>
  <c r="H32" i="243"/>
  <c r="F32" i="243"/>
  <c r="P32" i="243" s="1"/>
  <c r="E32" i="243"/>
  <c r="O31" i="243"/>
  <c r="N31" i="243"/>
  <c r="K31" i="243"/>
  <c r="H31" i="243"/>
  <c r="F31" i="243"/>
  <c r="P31" i="243" s="1"/>
  <c r="E31" i="243"/>
  <c r="O30" i="243"/>
  <c r="N30" i="243"/>
  <c r="K30" i="243"/>
  <c r="H30" i="243"/>
  <c r="F30" i="243"/>
  <c r="P30" i="243" s="1"/>
  <c r="E30" i="243"/>
  <c r="P28" i="243"/>
  <c r="J28" i="243"/>
  <c r="D28" i="243"/>
  <c r="L28" i="243" s="1"/>
  <c r="M28" i="243" s="1"/>
  <c r="C28" i="243"/>
  <c r="F28" i="243" s="1"/>
  <c r="A28" i="243"/>
  <c r="P27" i="243"/>
  <c r="J27" i="243"/>
  <c r="D27" i="243"/>
  <c r="L27" i="243" s="1"/>
  <c r="M27" i="243" s="1"/>
  <c r="C27" i="243"/>
  <c r="H27" i="243" s="1"/>
  <c r="I27" i="243" s="1"/>
  <c r="O27" i="243" s="1"/>
  <c r="A27" i="243"/>
  <c r="P26" i="243"/>
  <c r="J26" i="243"/>
  <c r="E26" i="243" a="1"/>
  <c r="E26" i="243" s="1"/>
  <c r="D26" i="243"/>
  <c r="L26" i="243" s="1"/>
  <c r="M26" i="243" s="1"/>
  <c r="C26" i="243"/>
  <c r="H26" i="243" s="1"/>
  <c r="I26" i="243" s="1"/>
  <c r="O26" i="243" s="1"/>
  <c r="P25" i="243"/>
  <c r="J25" i="243"/>
  <c r="E25" i="243" a="1"/>
  <c r="E25" i="243" s="1"/>
  <c r="D25" i="243"/>
  <c r="L25" i="243" s="1"/>
  <c r="M25" i="243" s="1"/>
  <c r="C25" i="243"/>
  <c r="H25" i="243" s="1"/>
  <c r="I25" i="243" s="1"/>
  <c r="O25" i="243" s="1"/>
  <c r="P24" i="243"/>
  <c r="J24" i="243"/>
  <c r="E24" i="243" a="1"/>
  <c r="E24" i="243" s="1"/>
  <c r="D24" i="243"/>
  <c r="L24" i="243" s="1"/>
  <c r="M24" i="243" s="1"/>
  <c r="C24" i="243"/>
  <c r="F24" i="243" s="1"/>
  <c r="P23" i="243"/>
  <c r="J23" i="243"/>
  <c r="E23" i="243" a="1"/>
  <c r="E23" i="243" s="1"/>
  <c r="D23" i="243"/>
  <c r="L23" i="243" s="1"/>
  <c r="M23" i="243" s="1"/>
  <c r="C23" i="243"/>
  <c r="H23" i="243" s="1"/>
  <c r="I23" i="243" s="1"/>
  <c r="O23" i="243" s="1"/>
  <c r="P22" i="243"/>
  <c r="J22" i="243"/>
  <c r="E22" i="243" a="1"/>
  <c r="E22" i="243" s="1"/>
  <c r="D22" i="243"/>
  <c r="L22" i="243" s="1"/>
  <c r="M22" i="243" s="1"/>
  <c r="C22" i="243"/>
  <c r="H22" i="243" s="1"/>
  <c r="I22" i="243" s="1"/>
  <c r="O22" i="243" s="1"/>
  <c r="P21" i="243"/>
  <c r="J21" i="243"/>
  <c r="E21" i="243" a="1"/>
  <c r="E21" i="243" s="1"/>
  <c r="D21" i="243"/>
  <c r="L21" i="243" s="1"/>
  <c r="M21" i="243" s="1"/>
  <c r="C21" i="243"/>
  <c r="H21" i="243" s="1"/>
  <c r="I21" i="243" s="1"/>
  <c r="O21" i="243" s="1"/>
  <c r="P20" i="243"/>
  <c r="J20" i="243"/>
  <c r="D20" i="243"/>
  <c r="L20" i="243" s="1"/>
  <c r="M20" i="243" s="1"/>
  <c r="C20" i="243"/>
  <c r="H20" i="243" s="1"/>
  <c r="I20" i="243" s="1"/>
  <c r="O20" i="243" s="1"/>
  <c r="J19" i="243"/>
  <c r="D19" i="243"/>
  <c r="L19" i="243" s="1"/>
  <c r="M19" i="243" s="1"/>
  <c r="C19" i="243"/>
  <c r="H19" i="243" s="1"/>
  <c r="N17" i="243"/>
  <c r="E17" i="243"/>
  <c r="P17" i="243" s="1"/>
  <c r="P16" i="243"/>
  <c r="N16" i="243"/>
  <c r="E16" i="243"/>
  <c r="N15" i="243"/>
  <c r="J15" i="243"/>
  <c r="J16" i="243" s="1"/>
  <c r="E15" i="243"/>
  <c r="P15" i="243" s="1"/>
  <c r="S14" i="243"/>
  <c r="J14" i="243"/>
  <c r="U6" i="243" s="1"/>
  <c r="P13" i="243"/>
  <c r="O13" i="243"/>
  <c r="J13" i="243"/>
  <c r="P11" i="243"/>
  <c r="J11" i="243"/>
  <c r="J10" i="243"/>
  <c r="E10" i="243"/>
  <c r="S9" i="243"/>
  <c r="O9" i="243"/>
  <c r="P8" i="243"/>
  <c r="J8" i="243"/>
  <c r="J9" i="243" s="1"/>
  <c r="L7" i="243"/>
  <c r="F7" i="243"/>
  <c r="X6" i="243"/>
  <c r="O92" i="243" s="1"/>
  <c r="V6" i="243"/>
  <c r="T6" i="243"/>
  <c r="R6" i="243"/>
  <c r="P5" i="243"/>
  <c r="P14" i="243" s="1"/>
  <c r="N5" i="243"/>
  <c r="M5" i="243"/>
  <c r="K5" i="243"/>
  <c r="J5" i="243"/>
  <c r="E5" i="243"/>
  <c r="N4" i="243"/>
  <c r="M4" i="243"/>
  <c r="J4" i="243"/>
  <c r="F4" i="243"/>
  <c r="E4" i="243"/>
  <c r="E19" i="243" s="1" a="1"/>
  <c r="E19" i="243" s="1"/>
  <c r="H66" i="243" l="1"/>
  <c r="S13" i="243" s="1"/>
  <c r="P64" i="244"/>
  <c r="L65" i="244"/>
  <c r="L66" i="244" s="1"/>
  <c r="L67" i="244" s="1"/>
  <c r="L65" i="243"/>
  <c r="L66" i="243" s="1"/>
  <c r="L67" i="243" s="1"/>
  <c r="E64" i="243"/>
  <c r="H66" i="244"/>
  <c r="I66" i="244" s="1"/>
  <c r="J67" i="244"/>
  <c r="J67" i="243"/>
  <c r="E9" i="243"/>
  <c r="P9" i="243" s="1"/>
  <c r="F39" i="244"/>
  <c r="P39" i="244" s="1"/>
  <c r="N7" i="243"/>
  <c r="S12" i="243" s="1"/>
  <c r="F38" i="243"/>
  <c r="P38" i="243" s="1"/>
  <c r="N7" i="244"/>
  <c r="S12" i="244" s="1"/>
  <c r="A7" i="244"/>
  <c r="A7" i="243"/>
  <c r="M11" i="243"/>
  <c r="S6" i="243" s="1"/>
  <c r="F37" i="243"/>
  <c r="P37" i="243" s="1"/>
  <c r="E7" i="243" a="1"/>
  <c r="E7" i="243" s="1"/>
  <c r="P7" i="243" s="1" a="1"/>
  <c r="P7" i="243" s="1"/>
  <c r="E20" i="243" a="1"/>
  <c r="E20" i="243" s="1"/>
  <c r="E9" i="244"/>
  <c r="P9" i="244" s="1"/>
  <c r="E7" i="244" a="1"/>
  <c r="E7" i="244" s="1"/>
  <c r="P19" i="244"/>
  <c r="P10" i="244"/>
  <c r="M11" i="244"/>
  <c r="S6" i="244" s="1"/>
  <c r="E20" i="244" a="1"/>
  <c r="E20" i="244" s="1"/>
  <c r="P14" i="244"/>
  <c r="E19" i="244" a="1"/>
  <c r="E19" i="244" s="1"/>
  <c r="P20" i="244"/>
  <c r="K14" i="244"/>
  <c r="S11" i="244"/>
  <c r="P67" i="244"/>
  <c r="H19" i="244"/>
  <c r="H21" i="244"/>
  <c r="I21" i="244" s="1"/>
  <c r="O21" i="244" s="1"/>
  <c r="H23" i="244"/>
  <c r="I23" i="244" s="1"/>
  <c r="O23" i="244" s="1"/>
  <c r="H25" i="244"/>
  <c r="I25" i="244" s="1"/>
  <c r="O25" i="244" s="1"/>
  <c r="P66" i="244" a="1"/>
  <c r="P66" i="244" s="1"/>
  <c r="J7" i="244"/>
  <c r="S13" i="244"/>
  <c r="H28" i="244"/>
  <c r="I28" i="244" s="1"/>
  <c r="O28" i="244" s="1"/>
  <c r="F22" i="244"/>
  <c r="F27" i="244"/>
  <c r="H24" i="244"/>
  <c r="I24" i="244" s="1"/>
  <c r="O24" i="244" s="1"/>
  <c r="F20" i="244"/>
  <c r="F26" i="244"/>
  <c r="P19" i="243"/>
  <c r="P10" i="243"/>
  <c r="K14" i="243"/>
  <c r="S11" i="243"/>
  <c r="S10" i="243"/>
  <c r="I19" i="243"/>
  <c r="O19" i="243" s="1"/>
  <c r="P67" i="243"/>
  <c r="F27" i="243"/>
  <c r="I66" i="243"/>
  <c r="F19" i="243"/>
  <c r="F21" i="243"/>
  <c r="F23" i="243"/>
  <c r="F25" i="243"/>
  <c r="P66" i="243" a="1"/>
  <c r="P66" i="243" s="1"/>
  <c r="J7" i="243"/>
  <c r="F20" i="243"/>
  <c r="F22" i="243"/>
  <c r="F26" i="243"/>
  <c r="H24" i="243"/>
  <c r="I24" i="243" s="1"/>
  <c r="O24" i="243" s="1"/>
  <c r="H28" i="243"/>
  <c r="I28" i="243" s="1"/>
  <c r="O28" i="243" s="1"/>
  <c r="E2" i="243" l="1"/>
  <c r="P91" i="243"/>
  <c r="W6" i="243" s="1"/>
  <c r="E2" i="244"/>
  <c r="P7" i="244" a="1"/>
  <c r="P7" i="244" s="1"/>
  <c r="P91" i="244" s="1"/>
  <c r="S10" i="244"/>
  <c r="I19" i="244"/>
  <c r="O19" i="244" s="1"/>
  <c r="Z6" i="243" l="1"/>
  <c r="P2" i="243" s="1"/>
  <c r="P92" i="243" s="1"/>
  <c r="W6" i="244"/>
  <c r="Z6" i="244"/>
  <c r="P2" i="244" s="1"/>
  <c r="P92" i="244" s="1"/>
  <c r="P90" i="236" l="1"/>
  <c r="O90" i="236"/>
  <c r="K90" i="236"/>
  <c r="I90" i="236"/>
  <c r="G90" i="236"/>
  <c r="P89" i="236"/>
  <c r="O89" i="236"/>
  <c r="K89" i="236"/>
  <c r="I89" i="236"/>
  <c r="G89" i="236"/>
  <c r="P88" i="236"/>
  <c r="O88" i="236"/>
  <c r="K88" i="236"/>
  <c r="I88" i="236"/>
  <c r="G88" i="236"/>
  <c r="P87" i="236"/>
  <c r="O87" i="236"/>
  <c r="K87" i="236"/>
  <c r="I87" i="236"/>
  <c r="G87" i="236"/>
  <c r="P86" i="236"/>
  <c r="O86" i="236"/>
  <c r="K86" i="236"/>
  <c r="I86" i="236"/>
  <c r="G86" i="236"/>
  <c r="P85" i="236"/>
  <c r="O85" i="236"/>
  <c r="K85" i="236"/>
  <c r="I85" i="236"/>
  <c r="G85" i="236"/>
  <c r="P84" i="236"/>
  <c r="O84" i="236"/>
  <c r="K84" i="236"/>
  <c r="I84" i="236"/>
  <c r="G84" i="236"/>
  <c r="P83" i="236"/>
  <c r="O83" i="236"/>
  <c r="K83" i="236"/>
  <c r="I83" i="236"/>
  <c r="G83" i="236"/>
  <c r="P82" i="236"/>
  <c r="O82" i="236"/>
  <c r="K82" i="236"/>
  <c r="I82" i="236"/>
  <c r="G82" i="236"/>
  <c r="P81" i="236"/>
  <c r="O81" i="236"/>
  <c r="K81" i="236"/>
  <c r="I81" i="236"/>
  <c r="G81" i="236"/>
  <c r="P80" i="236"/>
  <c r="O80" i="236"/>
  <c r="K80" i="236"/>
  <c r="I80" i="236"/>
  <c r="G80" i="236"/>
  <c r="P79" i="236"/>
  <c r="O79" i="236"/>
  <c r="K79" i="236"/>
  <c r="I79" i="236"/>
  <c r="G79" i="236"/>
  <c r="P78" i="236"/>
  <c r="O78" i="236"/>
  <c r="K78" i="236"/>
  <c r="I78" i="236"/>
  <c r="G78" i="236"/>
  <c r="P77" i="236"/>
  <c r="O77" i="236"/>
  <c r="K77" i="236"/>
  <c r="I77" i="236"/>
  <c r="G77" i="236"/>
  <c r="P76" i="236"/>
  <c r="K76" i="236"/>
  <c r="I76" i="236"/>
  <c r="G76" i="236"/>
  <c r="P75" i="236"/>
  <c r="K75" i="236"/>
  <c r="I75" i="236"/>
  <c r="G75" i="236"/>
  <c r="P74" i="236"/>
  <c r="K74" i="236"/>
  <c r="I74" i="236"/>
  <c r="G74" i="236"/>
  <c r="P73" i="236"/>
  <c r="K73" i="236"/>
  <c r="I73" i="236"/>
  <c r="G73" i="236"/>
  <c r="P71" i="236"/>
  <c r="O71" i="236"/>
  <c r="K71" i="236"/>
  <c r="G71" i="236"/>
  <c r="P70" i="236"/>
  <c r="O70" i="236"/>
  <c r="N70" i="236"/>
  <c r="K70" i="236"/>
  <c r="G70" i="236"/>
  <c r="P69" i="236"/>
  <c r="O69" i="236"/>
  <c r="N69" i="236"/>
  <c r="K69" i="236"/>
  <c r="G69" i="236"/>
  <c r="N67" i="236"/>
  <c r="F66" i="236" a="1"/>
  <c r="F66" i="236" s="1"/>
  <c r="P65" i="236"/>
  <c r="K65" i="236"/>
  <c r="E65" i="236"/>
  <c r="O64" i="236"/>
  <c r="M64" i="236"/>
  <c r="L64" i="236"/>
  <c r="K64" i="236"/>
  <c r="J64" i="236"/>
  <c r="H64" i="236"/>
  <c r="I64" i="236" s="1"/>
  <c r="E57" i="236"/>
  <c r="P57" i="236" s="1"/>
  <c r="O56" i="236"/>
  <c r="N56" i="236"/>
  <c r="L56" i="236"/>
  <c r="K56" i="236"/>
  <c r="H56" i="236"/>
  <c r="F56" i="236"/>
  <c r="P56" i="236" s="1"/>
  <c r="E56" i="236"/>
  <c r="O55" i="236"/>
  <c r="N55" i="236"/>
  <c r="L55" i="236"/>
  <c r="K55" i="236"/>
  <c r="H55" i="236"/>
  <c r="F55" i="236"/>
  <c r="P55" i="236" s="1"/>
  <c r="E55" i="236"/>
  <c r="O54" i="236"/>
  <c r="N54" i="236"/>
  <c r="L54" i="236"/>
  <c r="K54" i="236"/>
  <c r="H54" i="236"/>
  <c r="F54" i="236"/>
  <c r="P54" i="236" s="1"/>
  <c r="E54" i="236"/>
  <c r="O53" i="236"/>
  <c r="N53" i="236"/>
  <c r="L53" i="236"/>
  <c r="K53" i="236"/>
  <c r="H53" i="236"/>
  <c r="F53" i="236"/>
  <c r="P53" i="236" s="1"/>
  <c r="E53" i="236"/>
  <c r="P52" i="236"/>
  <c r="O52" i="236"/>
  <c r="N52" i="236"/>
  <c r="L52" i="236"/>
  <c r="K52" i="236"/>
  <c r="H52" i="236"/>
  <c r="F52" i="236"/>
  <c r="E52" i="236"/>
  <c r="O51" i="236"/>
  <c r="N51" i="236"/>
  <c r="L51" i="236"/>
  <c r="K51" i="236"/>
  <c r="H51" i="236"/>
  <c r="F51" i="236"/>
  <c r="P51" i="236" s="1"/>
  <c r="E51" i="236"/>
  <c r="O50" i="236"/>
  <c r="N50" i="236"/>
  <c r="L50" i="236"/>
  <c r="K50" i="236"/>
  <c r="H50" i="236"/>
  <c r="F50" i="236"/>
  <c r="P50" i="236" s="1"/>
  <c r="E50" i="236"/>
  <c r="P49" i="236"/>
  <c r="O49" i="236"/>
  <c r="N49" i="236"/>
  <c r="L49" i="236"/>
  <c r="K49" i="236"/>
  <c r="H49" i="236"/>
  <c r="F49" i="236"/>
  <c r="E49" i="236"/>
  <c r="O48" i="236"/>
  <c r="N48" i="236"/>
  <c r="L48" i="236"/>
  <c r="K48" i="236"/>
  <c r="H48" i="236"/>
  <c r="F48" i="236"/>
  <c r="P48" i="236" s="1"/>
  <c r="E48" i="236"/>
  <c r="O47" i="236"/>
  <c r="N47" i="236"/>
  <c r="L47" i="236"/>
  <c r="K47" i="236"/>
  <c r="H47" i="236"/>
  <c r="F47" i="236"/>
  <c r="P47" i="236" s="1"/>
  <c r="E47" i="236"/>
  <c r="O46" i="236"/>
  <c r="N46" i="236"/>
  <c r="L46" i="236"/>
  <c r="K46" i="236"/>
  <c r="H46" i="236"/>
  <c r="F46" i="236"/>
  <c r="P46" i="236" s="1"/>
  <c r="E46" i="236"/>
  <c r="O45" i="236"/>
  <c r="N45" i="236"/>
  <c r="L45" i="236"/>
  <c r="K45" i="236"/>
  <c r="H45" i="236"/>
  <c r="E45" i="236"/>
  <c r="O44" i="236"/>
  <c r="N44" i="236"/>
  <c r="L44" i="236"/>
  <c r="K44" i="236"/>
  <c r="H44" i="236"/>
  <c r="E44" i="236"/>
  <c r="O43" i="236"/>
  <c r="N43" i="236"/>
  <c r="L43" i="236"/>
  <c r="K43" i="236"/>
  <c r="H43" i="236"/>
  <c r="E43" i="236"/>
  <c r="O42" i="236"/>
  <c r="N42" i="236"/>
  <c r="L42" i="236"/>
  <c r="K42" i="236"/>
  <c r="H42" i="236"/>
  <c r="F42" i="236"/>
  <c r="P42" i="236" s="1"/>
  <c r="E42" i="236"/>
  <c r="O41" i="236"/>
  <c r="N41" i="236"/>
  <c r="L41" i="236"/>
  <c r="K41" i="236"/>
  <c r="H41" i="236"/>
  <c r="F41" i="236"/>
  <c r="P41" i="236" s="1"/>
  <c r="E41" i="236"/>
  <c r="O40" i="236"/>
  <c r="N40" i="236"/>
  <c r="L40" i="236"/>
  <c r="K40" i="236"/>
  <c r="H40" i="236"/>
  <c r="E40" i="236"/>
  <c r="O39" i="236"/>
  <c r="N39" i="236"/>
  <c r="L39" i="236"/>
  <c r="K39" i="236"/>
  <c r="H39" i="236"/>
  <c r="E39" i="236"/>
  <c r="O38" i="236"/>
  <c r="N38" i="236"/>
  <c r="L38" i="236"/>
  <c r="K38" i="236"/>
  <c r="H38" i="236"/>
  <c r="F38" i="236"/>
  <c r="P38" i="236" s="1"/>
  <c r="E38" i="236"/>
  <c r="O37" i="236"/>
  <c r="N37" i="236"/>
  <c r="L37" i="236"/>
  <c r="K37" i="236"/>
  <c r="H37" i="236"/>
  <c r="F37" i="236"/>
  <c r="P37" i="236" s="1"/>
  <c r="E37" i="236"/>
  <c r="O36" i="236"/>
  <c r="N36" i="236"/>
  <c r="L36" i="236"/>
  <c r="K36" i="236"/>
  <c r="H36" i="236"/>
  <c r="F36" i="236"/>
  <c r="P36" i="236" s="1"/>
  <c r="E36" i="236"/>
  <c r="O34" i="236"/>
  <c r="N34" i="236"/>
  <c r="K34" i="236"/>
  <c r="H34" i="236"/>
  <c r="F34" i="236"/>
  <c r="P34" i="236" s="1"/>
  <c r="E34" i="236"/>
  <c r="O33" i="236"/>
  <c r="N33" i="236"/>
  <c r="K33" i="236"/>
  <c r="H33" i="236"/>
  <c r="F33" i="236"/>
  <c r="P33" i="236" s="1"/>
  <c r="E33" i="236"/>
  <c r="O32" i="236"/>
  <c r="N32" i="236"/>
  <c r="K32" i="236"/>
  <c r="H32" i="236"/>
  <c r="F32" i="236"/>
  <c r="P32" i="236" s="1"/>
  <c r="E32" i="236"/>
  <c r="O31" i="236"/>
  <c r="N31" i="236"/>
  <c r="K31" i="236"/>
  <c r="H31" i="236"/>
  <c r="F31" i="236"/>
  <c r="P31" i="236" s="1"/>
  <c r="E31" i="236"/>
  <c r="O30" i="236"/>
  <c r="N30" i="236"/>
  <c r="K30" i="236"/>
  <c r="H30" i="236"/>
  <c r="F30" i="236"/>
  <c r="P30" i="236" s="1"/>
  <c r="E30" i="236"/>
  <c r="P28" i="236"/>
  <c r="J28" i="236"/>
  <c r="D28" i="236"/>
  <c r="L28" i="236" s="1"/>
  <c r="M28" i="236" s="1"/>
  <c r="C28" i="236"/>
  <c r="F28" i="236" s="1"/>
  <c r="A28" i="236"/>
  <c r="P27" i="236"/>
  <c r="J27" i="236"/>
  <c r="D27" i="236"/>
  <c r="L27" i="236" s="1"/>
  <c r="M27" i="236" s="1"/>
  <c r="C27" i="236"/>
  <c r="H27" i="236" s="1"/>
  <c r="I27" i="236" s="1"/>
  <c r="O27" i="236" s="1"/>
  <c r="A27" i="236"/>
  <c r="P26" i="236"/>
  <c r="J26" i="236"/>
  <c r="E26" i="236" a="1"/>
  <c r="E26" i="236" s="1"/>
  <c r="D26" i="236"/>
  <c r="L26" i="236" s="1"/>
  <c r="M26" i="236" s="1"/>
  <c r="C26" i="236"/>
  <c r="H26" i="236" s="1"/>
  <c r="I26" i="236" s="1"/>
  <c r="O26" i="236" s="1"/>
  <c r="P25" i="236"/>
  <c r="J25" i="236"/>
  <c r="E25" i="236" a="1"/>
  <c r="E25" i="236" s="1"/>
  <c r="D25" i="236"/>
  <c r="L25" i="236" s="1"/>
  <c r="M25" i="236" s="1"/>
  <c r="C25" i="236"/>
  <c r="H25" i="236" s="1"/>
  <c r="I25" i="236" s="1"/>
  <c r="O25" i="236" s="1"/>
  <c r="P24" i="236"/>
  <c r="J24" i="236"/>
  <c r="E24" i="236" a="1"/>
  <c r="E24" i="236" s="1"/>
  <c r="D24" i="236"/>
  <c r="L24" i="236" s="1"/>
  <c r="M24" i="236" s="1"/>
  <c r="C24" i="236"/>
  <c r="F24" i="236" s="1"/>
  <c r="P23" i="236"/>
  <c r="J23" i="236"/>
  <c r="E23" i="236" a="1"/>
  <c r="E23" i="236" s="1"/>
  <c r="D23" i="236"/>
  <c r="L23" i="236" s="1"/>
  <c r="M23" i="236" s="1"/>
  <c r="C23" i="236"/>
  <c r="H23" i="236" s="1"/>
  <c r="I23" i="236" s="1"/>
  <c r="O23" i="236" s="1"/>
  <c r="P22" i="236"/>
  <c r="J22" i="236"/>
  <c r="E22" i="236" a="1"/>
  <c r="E22" i="236" s="1"/>
  <c r="D22" i="236"/>
  <c r="L22" i="236" s="1"/>
  <c r="M22" i="236" s="1"/>
  <c r="C22" i="236"/>
  <c r="H22" i="236" s="1"/>
  <c r="I22" i="236" s="1"/>
  <c r="O22" i="236" s="1"/>
  <c r="P21" i="236"/>
  <c r="J21" i="236"/>
  <c r="E21" i="236" a="1"/>
  <c r="E21" i="236" s="1"/>
  <c r="D21" i="236"/>
  <c r="L21" i="236" s="1"/>
  <c r="M21" i="236" s="1"/>
  <c r="C21" i="236"/>
  <c r="F21" i="236" s="1"/>
  <c r="P20" i="236"/>
  <c r="J20" i="236"/>
  <c r="D20" i="236"/>
  <c r="L20" i="236" s="1"/>
  <c r="M20" i="236" s="1"/>
  <c r="C20" i="236"/>
  <c r="F20" i="236" s="1"/>
  <c r="J19" i="236"/>
  <c r="D19" i="236"/>
  <c r="L19" i="236" s="1"/>
  <c r="M19" i="236" s="1"/>
  <c r="C19" i="236"/>
  <c r="H19" i="236" s="1"/>
  <c r="P17" i="236"/>
  <c r="N17" i="236"/>
  <c r="E17" i="236"/>
  <c r="P16" i="236"/>
  <c r="N16" i="236"/>
  <c r="E16" i="236"/>
  <c r="N15" i="236"/>
  <c r="J15" i="236"/>
  <c r="J16" i="236" s="1"/>
  <c r="E15" i="236"/>
  <c r="P15" i="236" s="1"/>
  <c r="P14" i="236"/>
  <c r="S14" i="236"/>
  <c r="P13" i="236"/>
  <c r="O13" i="236"/>
  <c r="P11" i="236"/>
  <c r="J11" i="236"/>
  <c r="P10" i="236"/>
  <c r="J10" i="236"/>
  <c r="E10" i="236"/>
  <c r="O9" i="236"/>
  <c r="S9" i="236"/>
  <c r="J8" i="236"/>
  <c r="J9" i="236" s="1"/>
  <c r="L7" i="236"/>
  <c r="F7" i="236"/>
  <c r="X6" i="236"/>
  <c r="O92" i="236" s="1"/>
  <c r="V6" i="236"/>
  <c r="T6" i="236"/>
  <c r="R6" i="236"/>
  <c r="P5" i="236"/>
  <c r="P19" i="236" s="1"/>
  <c r="N5" i="236"/>
  <c r="M5" i="236"/>
  <c r="K5" i="236"/>
  <c r="J5" i="236"/>
  <c r="J13" i="236" s="1"/>
  <c r="J14" i="236" s="1"/>
  <c r="U6" i="236" s="1"/>
  <c r="E5" i="236"/>
  <c r="N4" i="236"/>
  <c r="M4" i="236"/>
  <c r="J4" i="236"/>
  <c r="F4" i="236"/>
  <c r="E4" i="236"/>
  <c r="F39" i="236" s="1"/>
  <c r="P39" i="236" s="1"/>
  <c r="P90" i="235"/>
  <c r="O90" i="235"/>
  <c r="K90" i="235"/>
  <c r="I90" i="235"/>
  <c r="G90" i="235"/>
  <c r="P89" i="235"/>
  <c r="O89" i="235"/>
  <c r="K89" i="235"/>
  <c r="I89" i="235"/>
  <c r="G89" i="235"/>
  <c r="P88" i="235"/>
  <c r="O88" i="235"/>
  <c r="K88" i="235"/>
  <c r="I88" i="235"/>
  <c r="G88" i="235"/>
  <c r="P87" i="235"/>
  <c r="O87" i="235"/>
  <c r="K87" i="235"/>
  <c r="I87" i="235"/>
  <c r="G87" i="235"/>
  <c r="P86" i="235"/>
  <c r="O86" i="235"/>
  <c r="K86" i="235"/>
  <c r="I86" i="235"/>
  <c r="G86" i="235"/>
  <c r="P85" i="235"/>
  <c r="O85" i="235"/>
  <c r="K85" i="235"/>
  <c r="I85" i="235"/>
  <c r="G85" i="235"/>
  <c r="P84" i="235"/>
  <c r="O84" i="235"/>
  <c r="K84" i="235"/>
  <c r="I84" i="235"/>
  <c r="G84" i="235"/>
  <c r="P83" i="235"/>
  <c r="O83" i="235"/>
  <c r="K83" i="235"/>
  <c r="I83" i="235"/>
  <c r="G83" i="235"/>
  <c r="P82" i="235"/>
  <c r="O82" i="235"/>
  <c r="K82" i="235"/>
  <c r="I82" i="235"/>
  <c r="G82" i="235"/>
  <c r="P81" i="235"/>
  <c r="O81" i="235"/>
  <c r="K81" i="235"/>
  <c r="I81" i="235"/>
  <c r="G81" i="235"/>
  <c r="P80" i="235"/>
  <c r="O80" i="235"/>
  <c r="K80" i="235"/>
  <c r="I80" i="235"/>
  <c r="G80" i="235"/>
  <c r="P79" i="235"/>
  <c r="O79" i="235"/>
  <c r="K79" i="235"/>
  <c r="I79" i="235"/>
  <c r="G79" i="235"/>
  <c r="P78" i="235"/>
  <c r="O78" i="235"/>
  <c r="K78" i="235"/>
  <c r="I78" i="235"/>
  <c r="G78" i="235"/>
  <c r="P77" i="235"/>
  <c r="O77" i="235"/>
  <c r="K77" i="235"/>
  <c r="I77" i="235"/>
  <c r="G77" i="235"/>
  <c r="P76" i="235"/>
  <c r="K76" i="235"/>
  <c r="I76" i="235"/>
  <c r="G76" i="235"/>
  <c r="P75" i="235"/>
  <c r="K75" i="235"/>
  <c r="I75" i="235"/>
  <c r="G75" i="235"/>
  <c r="P74" i="235"/>
  <c r="K74" i="235"/>
  <c r="I74" i="235"/>
  <c r="G74" i="235"/>
  <c r="P73" i="235"/>
  <c r="K73" i="235"/>
  <c r="I73" i="235"/>
  <c r="G73" i="235"/>
  <c r="P71" i="235"/>
  <c r="O71" i="235"/>
  <c r="K71" i="235"/>
  <c r="G71" i="235"/>
  <c r="P70" i="235"/>
  <c r="O70" i="235"/>
  <c r="N70" i="235"/>
  <c r="K70" i="235"/>
  <c r="G70" i="235"/>
  <c r="P69" i="235"/>
  <c r="O69" i="235"/>
  <c r="N69" i="235"/>
  <c r="K69" i="235"/>
  <c r="G69" i="235"/>
  <c r="N67" i="235"/>
  <c r="F66" i="235" a="1"/>
  <c r="F66" i="235" s="1"/>
  <c r="P65" i="235"/>
  <c r="K65" i="235"/>
  <c r="E65" i="235"/>
  <c r="O64" i="235"/>
  <c r="M64" i="235"/>
  <c r="L64" i="235"/>
  <c r="K64" i="235"/>
  <c r="J64" i="235"/>
  <c r="H64" i="235"/>
  <c r="H66" i="235" s="1"/>
  <c r="P66" i="235" s="1" a="1"/>
  <c r="P66" i="235" s="1"/>
  <c r="E57" i="235"/>
  <c r="P57" i="235" s="1"/>
  <c r="O56" i="235"/>
  <c r="N56" i="235"/>
  <c r="L56" i="235"/>
  <c r="K56" i="235"/>
  <c r="H56" i="235"/>
  <c r="F56" i="235"/>
  <c r="P56" i="235" s="1"/>
  <c r="E56" i="235"/>
  <c r="O55" i="235"/>
  <c r="N55" i="235"/>
  <c r="L55" i="235"/>
  <c r="K55" i="235"/>
  <c r="H55" i="235"/>
  <c r="F55" i="235"/>
  <c r="P55" i="235" s="1"/>
  <c r="E55" i="235"/>
  <c r="O54" i="235"/>
  <c r="N54" i="235"/>
  <c r="L54" i="235"/>
  <c r="K54" i="235"/>
  <c r="H54" i="235"/>
  <c r="F54" i="235"/>
  <c r="P54" i="235" s="1"/>
  <c r="E54" i="235"/>
  <c r="O53" i="235"/>
  <c r="N53" i="235"/>
  <c r="L53" i="235"/>
  <c r="K53" i="235"/>
  <c r="H53" i="235"/>
  <c r="F53" i="235"/>
  <c r="P53" i="235" s="1"/>
  <c r="E53" i="235"/>
  <c r="O52" i="235"/>
  <c r="N52" i="235"/>
  <c r="L52" i="235"/>
  <c r="K52" i="235"/>
  <c r="H52" i="235"/>
  <c r="F52" i="235"/>
  <c r="P52" i="235" s="1"/>
  <c r="E52" i="235"/>
  <c r="O51" i="235"/>
  <c r="N51" i="235"/>
  <c r="L51" i="235"/>
  <c r="K51" i="235"/>
  <c r="H51" i="235"/>
  <c r="F51" i="235"/>
  <c r="P51" i="235" s="1"/>
  <c r="E51" i="235"/>
  <c r="O50" i="235"/>
  <c r="N50" i="235"/>
  <c r="L50" i="235"/>
  <c r="K50" i="235"/>
  <c r="H50" i="235"/>
  <c r="F50" i="235"/>
  <c r="P50" i="235" s="1"/>
  <c r="E50" i="235"/>
  <c r="O49" i="235"/>
  <c r="N49" i="235"/>
  <c r="L49" i="235"/>
  <c r="K49" i="235"/>
  <c r="H49" i="235"/>
  <c r="F49" i="235"/>
  <c r="P49" i="235" s="1"/>
  <c r="E49" i="235"/>
  <c r="O48" i="235"/>
  <c r="N48" i="235"/>
  <c r="L48" i="235"/>
  <c r="K48" i="235"/>
  <c r="H48" i="235"/>
  <c r="F48" i="235"/>
  <c r="P48" i="235" s="1"/>
  <c r="E48" i="235"/>
  <c r="O47" i="235"/>
  <c r="N47" i="235"/>
  <c r="L47" i="235"/>
  <c r="K47" i="235"/>
  <c r="H47" i="235"/>
  <c r="F47" i="235"/>
  <c r="P47" i="235" s="1"/>
  <c r="E47" i="235"/>
  <c r="O46" i="235"/>
  <c r="N46" i="235"/>
  <c r="L46" i="235"/>
  <c r="K46" i="235"/>
  <c r="H46" i="235"/>
  <c r="F46" i="235"/>
  <c r="P46" i="235" s="1"/>
  <c r="E46" i="235"/>
  <c r="O45" i="235"/>
  <c r="N45" i="235"/>
  <c r="L45" i="235"/>
  <c r="K45" i="235"/>
  <c r="H45" i="235"/>
  <c r="E45" i="235"/>
  <c r="O44" i="235"/>
  <c r="N44" i="235"/>
  <c r="L44" i="235"/>
  <c r="K44" i="235"/>
  <c r="H44" i="235"/>
  <c r="F44" i="235"/>
  <c r="P44" i="235" s="1"/>
  <c r="E44" i="235"/>
  <c r="O43" i="235"/>
  <c r="N43" i="235"/>
  <c r="L43" i="235"/>
  <c r="K43" i="235"/>
  <c r="H43" i="235"/>
  <c r="E43" i="235"/>
  <c r="O42" i="235"/>
  <c r="N42" i="235"/>
  <c r="L42" i="235"/>
  <c r="K42" i="235"/>
  <c r="H42" i="235"/>
  <c r="F42" i="235"/>
  <c r="P42" i="235" s="1"/>
  <c r="E42" i="235"/>
  <c r="O41" i="235"/>
  <c r="N41" i="235"/>
  <c r="L41" i="235"/>
  <c r="K41" i="235"/>
  <c r="H41" i="235"/>
  <c r="F41" i="235"/>
  <c r="P41" i="235" s="1"/>
  <c r="E41" i="235"/>
  <c r="O40" i="235"/>
  <c r="N40" i="235"/>
  <c r="L40" i="235"/>
  <c r="K40" i="235"/>
  <c r="H40" i="235"/>
  <c r="E40" i="235"/>
  <c r="O39" i="235"/>
  <c r="N39" i="235"/>
  <c r="L39" i="235"/>
  <c r="K39" i="235"/>
  <c r="H39" i="235"/>
  <c r="E39" i="235"/>
  <c r="O38" i="235"/>
  <c r="N38" i="235"/>
  <c r="L38" i="235"/>
  <c r="K38" i="235"/>
  <c r="H38" i="235"/>
  <c r="F38" i="235"/>
  <c r="P38" i="235" s="1"/>
  <c r="E38" i="235"/>
  <c r="O37" i="235"/>
  <c r="N37" i="235"/>
  <c r="L37" i="235"/>
  <c r="K37" i="235"/>
  <c r="H37" i="235"/>
  <c r="F37" i="235"/>
  <c r="P37" i="235" s="1"/>
  <c r="E37" i="235"/>
  <c r="O36" i="235"/>
  <c r="N36" i="235"/>
  <c r="L36" i="235"/>
  <c r="K36" i="235"/>
  <c r="H36" i="235"/>
  <c r="F36" i="235"/>
  <c r="P36" i="235" s="1"/>
  <c r="E36" i="235"/>
  <c r="O34" i="235"/>
  <c r="N34" i="235"/>
  <c r="K34" i="235"/>
  <c r="H34" i="235"/>
  <c r="F34" i="235"/>
  <c r="P34" i="235" s="1"/>
  <c r="E34" i="235"/>
  <c r="O33" i="235"/>
  <c r="N33" i="235"/>
  <c r="K33" i="235"/>
  <c r="H33" i="235"/>
  <c r="F33" i="235"/>
  <c r="P33" i="235" s="1"/>
  <c r="E33" i="235"/>
  <c r="O32" i="235"/>
  <c r="N32" i="235"/>
  <c r="K32" i="235"/>
  <c r="H32" i="235"/>
  <c r="F32" i="235"/>
  <c r="P32" i="235" s="1"/>
  <c r="E32" i="235"/>
  <c r="O31" i="235"/>
  <c r="N31" i="235"/>
  <c r="K31" i="235"/>
  <c r="H31" i="235"/>
  <c r="F31" i="235"/>
  <c r="P31" i="235" s="1"/>
  <c r="E31" i="235"/>
  <c r="O30" i="235"/>
  <c r="N30" i="235"/>
  <c r="K30" i="235"/>
  <c r="H30" i="235"/>
  <c r="F30" i="235"/>
  <c r="P30" i="235" s="1"/>
  <c r="E30" i="235"/>
  <c r="P28" i="235"/>
  <c r="J28" i="235"/>
  <c r="D28" i="235"/>
  <c r="L28" i="235" s="1"/>
  <c r="M28" i="235" s="1"/>
  <c r="C28" i="235"/>
  <c r="H28" i="235" s="1"/>
  <c r="I28" i="235" s="1"/>
  <c r="O28" i="235" s="1"/>
  <c r="A28" i="235"/>
  <c r="P27" i="235"/>
  <c r="J27" i="235"/>
  <c r="D27" i="235"/>
  <c r="L27" i="235" s="1"/>
  <c r="M27" i="235" s="1"/>
  <c r="C27" i="235"/>
  <c r="H27" i="235" s="1"/>
  <c r="I27" i="235" s="1"/>
  <c r="O27" i="235" s="1"/>
  <c r="A27" i="235"/>
  <c r="P26" i="235"/>
  <c r="J26" i="235"/>
  <c r="F26" i="235"/>
  <c r="E26" i="235" a="1"/>
  <c r="E26" i="235" s="1"/>
  <c r="D26" i="235"/>
  <c r="L26" i="235" s="1"/>
  <c r="M26" i="235" s="1"/>
  <c r="C26" i="235"/>
  <c r="H26" i="235" s="1"/>
  <c r="I26" i="235" s="1"/>
  <c r="O26" i="235" s="1"/>
  <c r="P25" i="235"/>
  <c r="J25" i="235"/>
  <c r="E25" i="235" a="1"/>
  <c r="E25" i="235" s="1"/>
  <c r="D25" i="235"/>
  <c r="L25" i="235" s="1"/>
  <c r="M25" i="235" s="1"/>
  <c r="C25" i="235"/>
  <c r="H25" i="235" s="1"/>
  <c r="I25" i="235" s="1"/>
  <c r="O25" i="235" s="1"/>
  <c r="P24" i="235"/>
  <c r="J24" i="235"/>
  <c r="E24" i="235" a="1"/>
  <c r="E24" i="235" s="1"/>
  <c r="D24" i="235"/>
  <c r="L24" i="235" s="1"/>
  <c r="M24" i="235" s="1"/>
  <c r="C24" i="235"/>
  <c r="H24" i="235" s="1"/>
  <c r="I24" i="235" s="1"/>
  <c r="O24" i="235" s="1"/>
  <c r="P23" i="235"/>
  <c r="J23" i="235"/>
  <c r="E23" i="235" a="1"/>
  <c r="E23" i="235" s="1"/>
  <c r="D23" i="235"/>
  <c r="L23" i="235" s="1"/>
  <c r="M23" i="235" s="1"/>
  <c r="C23" i="235"/>
  <c r="H23" i="235" s="1"/>
  <c r="I23" i="235" s="1"/>
  <c r="O23" i="235" s="1"/>
  <c r="P22" i="235"/>
  <c r="J22" i="235"/>
  <c r="E22" i="235" a="1"/>
  <c r="E22" i="235" s="1"/>
  <c r="D22" i="235"/>
  <c r="L22" i="235" s="1"/>
  <c r="M22" i="235" s="1"/>
  <c r="C22" i="235"/>
  <c r="H22" i="235" s="1"/>
  <c r="I22" i="235" s="1"/>
  <c r="O22" i="235" s="1"/>
  <c r="P21" i="235"/>
  <c r="J21" i="235"/>
  <c r="E21" i="235" a="1"/>
  <c r="E21" i="235" s="1"/>
  <c r="D21" i="235"/>
  <c r="L21" i="235" s="1"/>
  <c r="M21" i="235" s="1"/>
  <c r="C21" i="235"/>
  <c r="H21" i="235" s="1"/>
  <c r="I21" i="235" s="1"/>
  <c r="O21" i="235" s="1"/>
  <c r="P20" i="235"/>
  <c r="J20" i="235"/>
  <c r="D20" i="235"/>
  <c r="L20" i="235" s="1"/>
  <c r="M20" i="235" s="1"/>
  <c r="C20" i="235"/>
  <c r="F20" i="235" s="1"/>
  <c r="J19" i="235"/>
  <c r="D19" i="235"/>
  <c r="L19" i="235" s="1"/>
  <c r="M19" i="235" s="1"/>
  <c r="C19" i="235"/>
  <c r="H19" i="235" s="1"/>
  <c r="N17" i="235"/>
  <c r="E17" i="235"/>
  <c r="P17" i="235" s="1"/>
  <c r="P16" i="235"/>
  <c r="N16" i="235"/>
  <c r="E16" i="235"/>
  <c r="N15" i="235"/>
  <c r="J15" i="235"/>
  <c r="J16" i="235" s="1"/>
  <c r="E15" i="235"/>
  <c r="P15" i="235" s="1"/>
  <c r="S14" i="235"/>
  <c r="P13" i="235"/>
  <c r="O13" i="235"/>
  <c r="P11" i="235"/>
  <c r="J11" i="235"/>
  <c r="P10" i="235"/>
  <c r="J10" i="235"/>
  <c r="M11" i="235" s="1"/>
  <c r="S6" i="235" s="1"/>
  <c r="E10" i="235"/>
  <c r="O9" i="235"/>
  <c r="E9" i="235"/>
  <c r="P9" i="235" s="1"/>
  <c r="S9" i="235"/>
  <c r="J8" i="235"/>
  <c r="J9" i="235" s="1"/>
  <c r="L7" i="235"/>
  <c r="F7" i="235"/>
  <c r="X6" i="235"/>
  <c r="O92" i="235" s="1"/>
  <c r="V6" i="235"/>
  <c r="T6" i="235"/>
  <c r="R6" i="235"/>
  <c r="P5" i="235"/>
  <c r="P8" i="235" s="1"/>
  <c r="N5" i="235"/>
  <c r="M5" i="235"/>
  <c r="K5" i="235"/>
  <c r="J5" i="235"/>
  <c r="J13" i="235" s="1"/>
  <c r="J14" i="235" s="1"/>
  <c r="U6" i="235" s="1"/>
  <c r="E5" i="235"/>
  <c r="N4" i="235"/>
  <c r="M4" i="235"/>
  <c r="J4" i="235"/>
  <c r="F4" i="235"/>
  <c r="E4" i="235"/>
  <c r="E19" i="235" s="1" a="1"/>
  <c r="E19" i="235" s="1"/>
  <c r="P90" i="233"/>
  <c r="O90" i="233"/>
  <c r="K90" i="233"/>
  <c r="I90" i="233"/>
  <c r="G90" i="233"/>
  <c r="P89" i="233"/>
  <c r="O89" i="233"/>
  <c r="K89" i="233"/>
  <c r="I89" i="233"/>
  <c r="G89" i="233"/>
  <c r="P88" i="233"/>
  <c r="O88" i="233"/>
  <c r="K88" i="233"/>
  <c r="I88" i="233"/>
  <c r="G88" i="233"/>
  <c r="P87" i="233"/>
  <c r="O87" i="233"/>
  <c r="K87" i="233"/>
  <c r="I87" i="233"/>
  <c r="G87" i="233"/>
  <c r="P86" i="233"/>
  <c r="O86" i="233"/>
  <c r="K86" i="233"/>
  <c r="I86" i="233"/>
  <c r="G86" i="233"/>
  <c r="P85" i="233"/>
  <c r="O85" i="233"/>
  <c r="K85" i="233"/>
  <c r="I85" i="233"/>
  <c r="G85" i="233"/>
  <c r="P84" i="233"/>
  <c r="O84" i="233"/>
  <c r="K84" i="233"/>
  <c r="I84" i="233"/>
  <c r="G84" i="233"/>
  <c r="P83" i="233"/>
  <c r="O83" i="233"/>
  <c r="K83" i="233"/>
  <c r="I83" i="233"/>
  <c r="G83" i="233"/>
  <c r="P82" i="233"/>
  <c r="O82" i="233"/>
  <c r="K82" i="233"/>
  <c r="I82" i="233"/>
  <c r="G82" i="233"/>
  <c r="P81" i="233"/>
  <c r="O81" i="233"/>
  <c r="K81" i="233"/>
  <c r="I81" i="233"/>
  <c r="G81" i="233"/>
  <c r="P80" i="233"/>
  <c r="O80" i="233"/>
  <c r="K80" i="233"/>
  <c r="I80" i="233"/>
  <c r="G80" i="233"/>
  <c r="P79" i="233"/>
  <c r="O79" i="233"/>
  <c r="K79" i="233"/>
  <c r="I79" i="233"/>
  <c r="G79" i="233"/>
  <c r="P78" i="233"/>
  <c r="O78" i="233"/>
  <c r="K78" i="233"/>
  <c r="I78" i="233"/>
  <c r="G78" i="233"/>
  <c r="P77" i="233"/>
  <c r="K77" i="233"/>
  <c r="I77" i="233"/>
  <c r="G77" i="233"/>
  <c r="P76" i="233"/>
  <c r="K76" i="233"/>
  <c r="I76" i="233"/>
  <c r="G76" i="233"/>
  <c r="P75" i="233"/>
  <c r="K75" i="233"/>
  <c r="I75" i="233"/>
  <c r="G75" i="233"/>
  <c r="P74" i="233"/>
  <c r="K74" i="233"/>
  <c r="I74" i="233"/>
  <c r="G74" i="233"/>
  <c r="P73" i="233"/>
  <c r="K73" i="233"/>
  <c r="I73" i="233"/>
  <c r="G73" i="233"/>
  <c r="P71" i="233"/>
  <c r="O71" i="233"/>
  <c r="K71" i="233"/>
  <c r="G71" i="233"/>
  <c r="P70" i="233"/>
  <c r="O70" i="233"/>
  <c r="N70" i="233"/>
  <c r="K70" i="233"/>
  <c r="G70" i="233"/>
  <c r="P69" i="233"/>
  <c r="O69" i="233"/>
  <c r="N69" i="233"/>
  <c r="K69" i="233"/>
  <c r="G69" i="233"/>
  <c r="N67" i="233"/>
  <c r="F66" i="233" a="1"/>
  <c r="F66" i="233" s="1"/>
  <c r="P65" i="233"/>
  <c r="K65" i="233"/>
  <c r="E65" i="233"/>
  <c r="O64" i="233"/>
  <c r="M64" i="233"/>
  <c r="L64" i="233"/>
  <c r="L65" i="233" s="1"/>
  <c r="K64" i="233"/>
  <c r="J64" i="233"/>
  <c r="H64" i="233"/>
  <c r="I64" i="233" s="1"/>
  <c r="E57" i="233"/>
  <c r="P57" i="233" s="1"/>
  <c r="O56" i="233"/>
  <c r="N56" i="233"/>
  <c r="L56" i="233"/>
  <c r="K56" i="233"/>
  <c r="H56" i="233"/>
  <c r="F56" i="233"/>
  <c r="P56" i="233" s="1"/>
  <c r="E56" i="233"/>
  <c r="O55" i="233"/>
  <c r="N55" i="233"/>
  <c r="L55" i="233"/>
  <c r="K55" i="233"/>
  <c r="H55" i="233"/>
  <c r="F55" i="233"/>
  <c r="P55" i="233" s="1"/>
  <c r="E55" i="233"/>
  <c r="O54" i="233"/>
  <c r="N54" i="233"/>
  <c r="L54" i="233"/>
  <c r="K54" i="233"/>
  <c r="H54" i="233"/>
  <c r="F54" i="233"/>
  <c r="P54" i="233" s="1"/>
  <c r="E54" i="233"/>
  <c r="O53" i="233"/>
  <c r="N53" i="233"/>
  <c r="L53" i="233"/>
  <c r="K53" i="233"/>
  <c r="H53" i="233"/>
  <c r="F53" i="233"/>
  <c r="P53" i="233" s="1"/>
  <c r="E53" i="233"/>
  <c r="O52" i="233"/>
  <c r="N52" i="233"/>
  <c r="L52" i="233"/>
  <c r="K52" i="233"/>
  <c r="H52" i="233"/>
  <c r="F52" i="233"/>
  <c r="P52" i="233" s="1"/>
  <c r="E52" i="233"/>
  <c r="O51" i="233"/>
  <c r="N51" i="233"/>
  <c r="L51" i="233"/>
  <c r="K51" i="233"/>
  <c r="H51" i="233"/>
  <c r="F51" i="233"/>
  <c r="P51" i="233" s="1"/>
  <c r="E51" i="233"/>
  <c r="O50" i="233"/>
  <c r="N50" i="233"/>
  <c r="L50" i="233"/>
  <c r="K50" i="233"/>
  <c r="H50" i="233"/>
  <c r="F50" i="233"/>
  <c r="P50" i="233" s="1"/>
  <c r="E50" i="233"/>
  <c r="O49" i="233"/>
  <c r="N49" i="233"/>
  <c r="L49" i="233"/>
  <c r="K49" i="233"/>
  <c r="H49" i="233"/>
  <c r="F49" i="233"/>
  <c r="P49" i="233" s="1"/>
  <c r="E49" i="233"/>
  <c r="O48" i="233"/>
  <c r="N48" i="233"/>
  <c r="L48" i="233"/>
  <c r="K48" i="233"/>
  <c r="H48" i="233"/>
  <c r="F48" i="233"/>
  <c r="P48" i="233" s="1"/>
  <c r="E48" i="233"/>
  <c r="O47" i="233"/>
  <c r="N47" i="233"/>
  <c r="L47" i="233"/>
  <c r="K47" i="233"/>
  <c r="H47" i="233"/>
  <c r="F47" i="233"/>
  <c r="P47" i="233" s="1"/>
  <c r="E47" i="233"/>
  <c r="O46" i="233"/>
  <c r="N46" i="233"/>
  <c r="L46" i="233"/>
  <c r="K46" i="233"/>
  <c r="H46" i="233"/>
  <c r="F46" i="233"/>
  <c r="P46" i="233" s="1"/>
  <c r="E46" i="233"/>
  <c r="O45" i="233"/>
  <c r="N45" i="233"/>
  <c r="L45" i="233"/>
  <c r="K45" i="233"/>
  <c r="H45" i="233"/>
  <c r="F45" i="233"/>
  <c r="P45" i="233" s="1"/>
  <c r="E45" i="233"/>
  <c r="O44" i="233"/>
  <c r="N44" i="233"/>
  <c r="L44" i="233"/>
  <c r="K44" i="233"/>
  <c r="H44" i="233"/>
  <c r="F44" i="233"/>
  <c r="P44" i="233" s="1"/>
  <c r="E44" i="233"/>
  <c r="O43" i="233"/>
  <c r="N43" i="233"/>
  <c r="L43" i="233"/>
  <c r="K43" i="233"/>
  <c r="H43" i="233"/>
  <c r="E43" i="233"/>
  <c r="O42" i="233"/>
  <c r="N42" i="233"/>
  <c r="L42" i="233"/>
  <c r="K42" i="233"/>
  <c r="H42" i="233"/>
  <c r="F42" i="233"/>
  <c r="P42" i="233" s="1"/>
  <c r="E42" i="233"/>
  <c r="O41" i="233"/>
  <c r="N41" i="233"/>
  <c r="L41" i="233"/>
  <c r="K41" i="233"/>
  <c r="H41" i="233"/>
  <c r="F41" i="233"/>
  <c r="P41" i="233" s="1"/>
  <c r="E41" i="233"/>
  <c r="O40" i="233"/>
  <c r="N40" i="233"/>
  <c r="L40" i="233"/>
  <c r="K40" i="233"/>
  <c r="H40" i="233"/>
  <c r="F40" i="233"/>
  <c r="P40" i="233" s="1"/>
  <c r="E40" i="233"/>
  <c r="O39" i="233"/>
  <c r="N39" i="233"/>
  <c r="L39" i="233"/>
  <c r="K39" i="233"/>
  <c r="H39" i="233"/>
  <c r="E39" i="233"/>
  <c r="O38" i="233"/>
  <c r="N38" i="233"/>
  <c r="L38" i="233"/>
  <c r="K38" i="233"/>
  <c r="H38" i="233"/>
  <c r="F38" i="233"/>
  <c r="P38" i="233" s="1"/>
  <c r="E38" i="233"/>
  <c r="O37" i="233"/>
  <c r="N37" i="233"/>
  <c r="L37" i="233"/>
  <c r="K37" i="233"/>
  <c r="H37" i="233"/>
  <c r="F37" i="233"/>
  <c r="P37" i="233" s="1"/>
  <c r="E37" i="233"/>
  <c r="O36" i="233"/>
  <c r="N36" i="233"/>
  <c r="L36" i="233"/>
  <c r="K36" i="233"/>
  <c r="H36" i="233"/>
  <c r="F36" i="233"/>
  <c r="P36" i="233" s="1"/>
  <c r="E36" i="233"/>
  <c r="O34" i="233"/>
  <c r="N34" i="233"/>
  <c r="K34" i="233"/>
  <c r="H34" i="233"/>
  <c r="F34" i="233"/>
  <c r="P34" i="233" s="1"/>
  <c r="E34" i="233"/>
  <c r="O33" i="233"/>
  <c r="N33" i="233"/>
  <c r="K33" i="233"/>
  <c r="H33" i="233"/>
  <c r="F33" i="233"/>
  <c r="P33" i="233" s="1"/>
  <c r="E33" i="233"/>
  <c r="O32" i="233"/>
  <c r="N32" i="233"/>
  <c r="K32" i="233"/>
  <c r="H32" i="233"/>
  <c r="F32" i="233"/>
  <c r="P32" i="233" s="1"/>
  <c r="E32" i="233"/>
  <c r="O31" i="233"/>
  <c r="N31" i="233"/>
  <c r="K31" i="233"/>
  <c r="H31" i="233"/>
  <c r="F31" i="233"/>
  <c r="P31" i="233" s="1"/>
  <c r="E31" i="233"/>
  <c r="O30" i="233"/>
  <c r="N30" i="233"/>
  <c r="K30" i="233"/>
  <c r="H30" i="233"/>
  <c r="F30" i="233"/>
  <c r="P30" i="233" s="1"/>
  <c r="E30" i="233"/>
  <c r="P28" i="233"/>
  <c r="J28" i="233"/>
  <c r="D28" i="233"/>
  <c r="L28" i="233" s="1"/>
  <c r="M28" i="233" s="1"/>
  <c r="C28" i="233"/>
  <c r="H28" i="233" s="1"/>
  <c r="I28" i="233" s="1"/>
  <c r="O28" i="233" s="1"/>
  <c r="A28" i="233"/>
  <c r="P27" i="233"/>
  <c r="J27" i="233"/>
  <c r="D27" i="233"/>
  <c r="L27" i="233" s="1"/>
  <c r="M27" i="233" s="1"/>
  <c r="C27" i="233"/>
  <c r="F27" i="233" s="1"/>
  <c r="A27" i="233"/>
  <c r="P26" i="233"/>
  <c r="J26" i="233"/>
  <c r="E26" i="233" a="1"/>
  <c r="E26" i="233" s="1"/>
  <c r="D26" i="233"/>
  <c r="L26" i="233" s="1"/>
  <c r="M26" i="233" s="1"/>
  <c r="C26" i="233"/>
  <c r="H26" i="233" s="1"/>
  <c r="I26" i="233" s="1"/>
  <c r="O26" i="233" s="1"/>
  <c r="P25" i="233"/>
  <c r="J25" i="233"/>
  <c r="E25" i="233" a="1"/>
  <c r="E25" i="233" s="1"/>
  <c r="D25" i="233"/>
  <c r="L25" i="233" s="1"/>
  <c r="M25" i="233" s="1"/>
  <c r="C25" i="233"/>
  <c r="F25" i="233" s="1"/>
  <c r="P24" i="233"/>
  <c r="J24" i="233"/>
  <c r="E24" i="233" a="1"/>
  <c r="E24" i="233" s="1"/>
  <c r="D24" i="233"/>
  <c r="L24" i="233" s="1"/>
  <c r="M24" i="233" s="1"/>
  <c r="C24" i="233"/>
  <c r="H24" i="233" s="1"/>
  <c r="I24" i="233" s="1"/>
  <c r="O24" i="233" s="1"/>
  <c r="P23" i="233"/>
  <c r="J23" i="233"/>
  <c r="E23" i="233" a="1"/>
  <c r="E23" i="233" s="1"/>
  <c r="D23" i="233"/>
  <c r="L23" i="233" s="1"/>
  <c r="M23" i="233" s="1"/>
  <c r="C23" i="233"/>
  <c r="H23" i="233" s="1"/>
  <c r="I23" i="233" s="1"/>
  <c r="O23" i="233" s="1"/>
  <c r="P22" i="233"/>
  <c r="J22" i="233"/>
  <c r="E22" i="233" a="1"/>
  <c r="E22" i="233" s="1"/>
  <c r="D22" i="233"/>
  <c r="L22" i="233" s="1"/>
  <c r="M22" i="233" s="1"/>
  <c r="C22" i="233"/>
  <c r="H22" i="233" s="1"/>
  <c r="I22" i="233" s="1"/>
  <c r="O22" i="233" s="1"/>
  <c r="P21" i="233"/>
  <c r="J21" i="233"/>
  <c r="E21" i="233" a="1"/>
  <c r="E21" i="233" s="1"/>
  <c r="D21" i="233"/>
  <c r="L21" i="233" s="1"/>
  <c r="M21" i="233" s="1"/>
  <c r="C21" i="233"/>
  <c r="F21" i="233" s="1"/>
  <c r="J20" i="233"/>
  <c r="D20" i="233"/>
  <c r="L20" i="233" s="1"/>
  <c r="M20" i="233" s="1"/>
  <c r="C20" i="233"/>
  <c r="H20" i="233" s="1"/>
  <c r="I20" i="233" s="1"/>
  <c r="O20" i="233" s="1"/>
  <c r="J19" i="233"/>
  <c r="D19" i="233"/>
  <c r="L19" i="233" s="1"/>
  <c r="M19" i="233" s="1"/>
  <c r="C19" i="233"/>
  <c r="H19" i="233" s="1"/>
  <c r="N17" i="233"/>
  <c r="E17" i="233"/>
  <c r="P17" i="233" s="1"/>
  <c r="P16" i="233"/>
  <c r="N16" i="233"/>
  <c r="E16" i="233"/>
  <c r="N15" i="233"/>
  <c r="J15" i="233"/>
  <c r="J16" i="233" s="1"/>
  <c r="E15" i="233"/>
  <c r="P15" i="233" s="1"/>
  <c r="S14" i="233"/>
  <c r="P13" i="233"/>
  <c r="O13" i="233"/>
  <c r="P11" i="233"/>
  <c r="J11" i="233"/>
  <c r="J10" i="233"/>
  <c r="M11" i="233" s="1"/>
  <c r="S6" i="233" s="1"/>
  <c r="E10" i="233"/>
  <c r="O9" i="233"/>
  <c r="S9" i="233"/>
  <c r="J8" i="233"/>
  <c r="J9" i="233" s="1"/>
  <c r="L7" i="233"/>
  <c r="F7" i="233"/>
  <c r="X6" i="233"/>
  <c r="O92" i="233" s="1"/>
  <c r="V6" i="233"/>
  <c r="T6" i="233"/>
  <c r="R6" i="233"/>
  <c r="P5" i="233"/>
  <c r="P8" i="233" s="1"/>
  <c r="N5" i="233"/>
  <c r="M5" i="233"/>
  <c r="K5" i="233"/>
  <c r="J5" i="233"/>
  <c r="J13" i="233" s="1"/>
  <c r="J14" i="233" s="1"/>
  <c r="U6" i="233" s="1"/>
  <c r="E5" i="233"/>
  <c r="N4" i="233"/>
  <c r="M4" i="233"/>
  <c r="J4" i="233"/>
  <c r="F4" i="233"/>
  <c r="E4" i="233"/>
  <c r="E20" i="233" s="1" a="1"/>
  <c r="E20" i="233" s="1"/>
  <c r="P90" i="231"/>
  <c r="O90" i="231"/>
  <c r="K90" i="231"/>
  <c r="I90" i="231"/>
  <c r="G90" i="231"/>
  <c r="P89" i="231"/>
  <c r="O89" i="231"/>
  <c r="K89" i="231"/>
  <c r="I89" i="231"/>
  <c r="G89" i="231"/>
  <c r="P88" i="231"/>
  <c r="O88" i="231"/>
  <c r="K88" i="231"/>
  <c r="I88" i="231"/>
  <c r="G88" i="231"/>
  <c r="P87" i="231"/>
  <c r="O87" i="231"/>
  <c r="K87" i="231"/>
  <c r="I87" i="231"/>
  <c r="G87" i="231"/>
  <c r="P86" i="231"/>
  <c r="O86" i="231"/>
  <c r="K86" i="231"/>
  <c r="I86" i="231"/>
  <c r="G86" i="231"/>
  <c r="P85" i="231"/>
  <c r="O85" i="231"/>
  <c r="K85" i="231"/>
  <c r="I85" i="231"/>
  <c r="G85" i="231"/>
  <c r="P84" i="231"/>
  <c r="O84" i="231"/>
  <c r="K84" i="231"/>
  <c r="I84" i="231"/>
  <c r="G84" i="231"/>
  <c r="P83" i="231"/>
  <c r="O83" i="231"/>
  <c r="K83" i="231"/>
  <c r="I83" i="231"/>
  <c r="G83" i="231"/>
  <c r="P82" i="231"/>
  <c r="O82" i="231"/>
  <c r="K82" i="231"/>
  <c r="I82" i="231"/>
  <c r="G82" i="231"/>
  <c r="P81" i="231"/>
  <c r="O81" i="231"/>
  <c r="K81" i="231"/>
  <c r="I81" i="231"/>
  <c r="G81" i="231"/>
  <c r="P80" i="231"/>
  <c r="O80" i="231"/>
  <c r="K80" i="231"/>
  <c r="I80" i="231"/>
  <c r="G80" i="231"/>
  <c r="P79" i="231"/>
  <c r="O79" i="231"/>
  <c r="K79" i="231"/>
  <c r="I79" i="231"/>
  <c r="G79" i="231"/>
  <c r="P78" i="231"/>
  <c r="K78" i="231"/>
  <c r="I78" i="231"/>
  <c r="G78" i="231"/>
  <c r="P77" i="231"/>
  <c r="K77" i="231"/>
  <c r="I77" i="231"/>
  <c r="G77" i="231"/>
  <c r="P76" i="231"/>
  <c r="K76" i="231"/>
  <c r="I76" i="231"/>
  <c r="G76" i="231"/>
  <c r="P75" i="231"/>
  <c r="K75" i="231"/>
  <c r="I75" i="231"/>
  <c r="G75" i="231"/>
  <c r="P74" i="231"/>
  <c r="K74" i="231"/>
  <c r="I74" i="231"/>
  <c r="G74" i="231"/>
  <c r="P73" i="231"/>
  <c r="K73" i="231"/>
  <c r="I73" i="231"/>
  <c r="G73" i="231"/>
  <c r="P71" i="231"/>
  <c r="O71" i="231"/>
  <c r="K71" i="231"/>
  <c r="G71" i="231"/>
  <c r="P70" i="231"/>
  <c r="O70" i="231"/>
  <c r="N70" i="231"/>
  <c r="K70" i="231"/>
  <c r="G70" i="231"/>
  <c r="P69" i="231"/>
  <c r="O69" i="231"/>
  <c r="N69" i="231"/>
  <c r="K69" i="231"/>
  <c r="G69" i="231"/>
  <c r="N67" i="231"/>
  <c r="F66" i="231" a="1"/>
  <c r="F66" i="231" s="1"/>
  <c r="P65" i="231"/>
  <c r="K65" i="231"/>
  <c r="E65" i="231"/>
  <c r="O64" i="231"/>
  <c r="M64" i="231"/>
  <c r="L64" i="231"/>
  <c r="K64" i="231"/>
  <c r="J64" i="231"/>
  <c r="H64" i="231"/>
  <c r="E57" i="231"/>
  <c r="P57" i="231" s="1"/>
  <c r="O56" i="231"/>
  <c r="N56" i="231"/>
  <c r="L56" i="231"/>
  <c r="K56" i="231"/>
  <c r="H56" i="231"/>
  <c r="F56" i="231"/>
  <c r="P56" i="231" s="1"/>
  <c r="E56" i="231"/>
  <c r="O55" i="231"/>
  <c r="N55" i="231"/>
  <c r="L55" i="231"/>
  <c r="K55" i="231"/>
  <c r="H55" i="231"/>
  <c r="F55" i="231"/>
  <c r="P55" i="231" s="1"/>
  <c r="E55" i="231"/>
  <c r="O54" i="231"/>
  <c r="N54" i="231"/>
  <c r="L54" i="231"/>
  <c r="K54" i="231"/>
  <c r="H54" i="231"/>
  <c r="F54" i="231"/>
  <c r="P54" i="231" s="1"/>
  <c r="E54" i="231"/>
  <c r="O53" i="231"/>
  <c r="N53" i="231"/>
  <c r="L53" i="231"/>
  <c r="K53" i="231"/>
  <c r="H53" i="231"/>
  <c r="F53" i="231"/>
  <c r="P53" i="231" s="1"/>
  <c r="E53" i="231"/>
  <c r="O52" i="231"/>
  <c r="N52" i="231"/>
  <c r="L52" i="231"/>
  <c r="K52" i="231"/>
  <c r="H52" i="231"/>
  <c r="F52" i="231"/>
  <c r="P52" i="231" s="1"/>
  <c r="E52" i="231"/>
  <c r="O51" i="231"/>
  <c r="N51" i="231"/>
  <c r="L51" i="231"/>
  <c r="K51" i="231"/>
  <c r="H51" i="231"/>
  <c r="F51" i="231"/>
  <c r="P51" i="231" s="1"/>
  <c r="E51" i="231"/>
  <c r="O50" i="231"/>
  <c r="N50" i="231"/>
  <c r="L50" i="231"/>
  <c r="K50" i="231"/>
  <c r="H50" i="231"/>
  <c r="F50" i="231"/>
  <c r="P50" i="231" s="1"/>
  <c r="E50" i="231"/>
  <c r="O49" i="231"/>
  <c r="N49" i="231"/>
  <c r="L49" i="231"/>
  <c r="K49" i="231"/>
  <c r="H49" i="231"/>
  <c r="F49" i="231"/>
  <c r="P49" i="231" s="1"/>
  <c r="E49" i="231"/>
  <c r="O48" i="231"/>
  <c r="N48" i="231"/>
  <c r="L48" i="231"/>
  <c r="K48" i="231"/>
  <c r="H48" i="231"/>
  <c r="F48" i="231"/>
  <c r="P48" i="231" s="1"/>
  <c r="E48" i="231"/>
  <c r="O47" i="231"/>
  <c r="N47" i="231"/>
  <c r="L47" i="231"/>
  <c r="K47" i="231"/>
  <c r="H47" i="231"/>
  <c r="F47" i="231"/>
  <c r="P47" i="231" s="1"/>
  <c r="E47" i="231"/>
  <c r="O46" i="231"/>
  <c r="N46" i="231"/>
  <c r="L46" i="231"/>
  <c r="K46" i="231"/>
  <c r="H46" i="231"/>
  <c r="F46" i="231"/>
  <c r="P46" i="231" s="1"/>
  <c r="E46" i="231"/>
  <c r="O45" i="231"/>
  <c r="N45" i="231"/>
  <c r="L45" i="231"/>
  <c r="K45" i="231"/>
  <c r="H45" i="231"/>
  <c r="F45" i="231"/>
  <c r="P45" i="231" s="1"/>
  <c r="E45" i="231"/>
  <c r="O44" i="231"/>
  <c r="N44" i="231"/>
  <c r="L44" i="231"/>
  <c r="K44" i="231"/>
  <c r="H44" i="231"/>
  <c r="F44" i="231"/>
  <c r="P44" i="231" s="1"/>
  <c r="E44" i="231"/>
  <c r="O43" i="231"/>
  <c r="N43" i="231"/>
  <c r="L43" i="231"/>
  <c r="K43" i="231"/>
  <c r="H43" i="231"/>
  <c r="F43" i="231"/>
  <c r="P43" i="231" s="1"/>
  <c r="E43" i="231"/>
  <c r="O42" i="231"/>
  <c r="N42" i="231"/>
  <c r="L42" i="231"/>
  <c r="K42" i="231"/>
  <c r="H42" i="231"/>
  <c r="F42" i="231"/>
  <c r="P42" i="231" s="1"/>
  <c r="E42" i="231"/>
  <c r="O41" i="231"/>
  <c r="N41" i="231"/>
  <c r="L41" i="231"/>
  <c r="K41" i="231"/>
  <c r="H41" i="231"/>
  <c r="F41" i="231"/>
  <c r="P41" i="231" s="1"/>
  <c r="E41" i="231"/>
  <c r="O40" i="231"/>
  <c r="N40" i="231"/>
  <c r="L40" i="231"/>
  <c r="K40" i="231"/>
  <c r="H40" i="231"/>
  <c r="F40" i="231"/>
  <c r="P40" i="231" s="1"/>
  <c r="E40" i="231"/>
  <c r="O39" i="231"/>
  <c r="N39" i="231"/>
  <c r="L39" i="231"/>
  <c r="K39" i="231"/>
  <c r="H39" i="231"/>
  <c r="F39" i="231"/>
  <c r="P39" i="231" s="1"/>
  <c r="E39" i="231"/>
  <c r="O38" i="231"/>
  <c r="N38" i="231"/>
  <c r="L38" i="231"/>
  <c r="K38" i="231"/>
  <c r="H38" i="231"/>
  <c r="E38" i="231"/>
  <c r="O37" i="231"/>
  <c r="N37" i="231"/>
  <c r="L37" i="231"/>
  <c r="K37" i="231"/>
  <c r="H37" i="231"/>
  <c r="F37" i="231"/>
  <c r="P37" i="231" s="1"/>
  <c r="E37" i="231"/>
  <c r="O36" i="231"/>
  <c r="N36" i="231"/>
  <c r="L36" i="231"/>
  <c r="K36" i="231"/>
  <c r="H36" i="231"/>
  <c r="F36" i="231"/>
  <c r="P36" i="231" s="1"/>
  <c r="E36" i="231"/>
  <c r="O34" i="231"/>
  <c r="N34" i="231"/>
  <c r="K34" i="231"/>
  <c r="H34" i="231"/>
  <c r="F34" i="231"/>
  <c r="P34" i="231" s="1"/>
  <c r="E34" i="231"/>
  <c r="O33" i="231"/>
  <c r="N33" i="231"/>
  <c r="K33" i="231"/>
  <c r="H33" i="231"/>
  <c r="F33" i="231"/>
  <c r="P33" i="231" s="1"/>
  <c r="E33" i="231"/>
  <c r="O32" i="231"/>
  <c r="N32" i="231"/>
  <c r="K32" i="231"/>
  <c r="H32" i="231"/>
  <c r="F32" i="231"/>
  <c r="P32" i="231" s="1"/>
  <c r="E32" i="231"/>
  <c r="O31" i="231"/>
  <c r="N31" i="231"/>
  <c r="K31" i="231"/>
  <c r="H31" i="231"/>
  <c r="F31" i="231"/>
  <c r="P31" i="231" s="1"/>
  <c r="E31" i="231"/>
  <c r="O30" i="231"/>
  <c r="N30" i="231"/>
  <c r="K30" i="231"/>
  <c r="H30" i="231"/>
  <c r="F30" i="231"/>
  <c r="P30" i="231" s="1"/>
  <c r="E30" i="231"/>
  <c r="P28" i="231"/>
  <c r="J28" i="231"/>
  <c r="D28" i="231"/>
  <c r="L28" i="231" s="1"/>
  <c r="M28" i="231" s="1"/>
  <c r="C28" i="231"/>
  <c r="F28" i="231" s="1"/>
  <c r="A28" i="231"/>
  <c r="P27" i="231"/>
  <c r="J27" i="231"/>
  <c r="D27" i="231"/>
  <c r="L27" i="231" s="1"/>
  <c r="M27" i="231" s="1"/>
  <c r="C27" i="231"/>
  <c r="F27" i="231" s="1"/>
  <c r="A27" i="231"/>
  <c r="P26" i="231"/>
  <c r="J26" i="231"/>
  <c r="E26" i="231" a="1"/>
  <c r="E26" i="231" s="1"/>
  <c r="D26" i="231"/>
  <c r="L26" i="231" s="1"/>
  <c r="M26" i="231" s="1"/>
  <c r="C26" i="231"/>
  <c r="H26" i="231" s="1"/>
  <c r="I26" i="231" s="1"/>
  <c r="O26" i="231" s="1"/>
  <c r="P25" i="231"/>
  <c r="J25" i="231"/>
  <c r="E25" i="231" a="1"/>
  <c r="E25" i="231" s="1"/>
  <c r="D25" i="231"/>
  <c r="L25" i="231" s="1"/>
  <c r="M25" i="231" s="1"/>
  <c r="C25" i="231"/>
  <c r="F25" i="231" s="1"/>
  <c r="P24" i="231"/>
  <c r="J24" i="231"/>
  <c r="H24" i="231"/>
  <c r="I24" i="231" s="1"/>
  <c r="O24" i="231" s="1"/>
  <c r="F24" i="231"/>
  <c r="E24" i="231" a="1"/>
  <c r="E24" i="231" s="1"/>
  <c r="D24" i="231"/>
  <c r="L24" i="231" s="1"/>
  <c r="M24" i="231" s="1"/>
  <c r="C24" i="231"/>
  <c r="P23" i="231"/>
  <c r="J23" i="231"/>
  <c r="E23" i="231" a="1"/>
  <c r="E23" i="231" s="1"/>
  <c r="D23" i="231"/>
  <c r="L23" i="231" s="1"/>
  <c r="M23" i="231" s="1"/>
  <c r="C23" i="231"/>
  <c r="F23" i="231" s="1"/>
  <c r="P22" i="231"/>
  <c r="J22" i="231"/>
  <c r="E22" i="231" a="1"/>
  <c r="E22" i="231" s="1"/>
  <c r="D22" i="231"/>
  <c r="L22" i="231" s="1"/>
  <c r="M22" i="231" s="1"/>
  <c r="C22" i="231"/>
  <c r="H22" i="231" s="1"/>
  <c r="I22" i="231" s="1"/>
  <c r="O22" i="231" s="1"/>
  <c r="P21" i="231"/>
  <c r="J21" i="231"/>
  <c r="E21" i="231" a="1"/>
  <c r="E21" i="231" s="1"/>
  <c r="D21" i="231"/>
  <c r="L21" i="231" s="1"/>
  <c r="M21" i="231" s="1"/>
  <c r="C21" i="231"/>
  <c r="F21" i="231" s="1"/>
  <c r="J20" i="231"/>
  <c r="D20" i="231"/>
  <c r="L20" i="231" s="1"/>
  <c r="M20" i="231" s="1"/>
  <c r="C20" i="231"/>
  <c r="H20" i="231" s="1"/>
  <c r="I20" i="231" s="1"/>
  <c r="O20" i="231" s="1"/>
  <c r="J19" i="231"/>
  <c r="D19" i="231"/>
  <c r="L19" i="231" s="1"/>
  <c r="M19" i="231" s="1"/>
  <c r="C19" i="231"/>
  <c r="F19" i="231" s="1"/>
  <c r="N17" i="231"/>
  <c r="E17" i="231"/>
  <c r="P17" i="231" s="1"/>
  <c r="P16" i="231"/>
  <c r="N16" i="231"/>
  <c r="E16" i="231"/>
  <c r="N15" i="231"/>
  <c r="J15" i="231"/>
  <c r="J16" i="231" s="1"/>
  <c r="E15" i="231"/>
  <c r="P15" i="231" s="1"/>
  <c r="S13" i="231"/>
  <c r="P13" i="231"/>
  <c r="O13" i="231"/>
  <c r="P11" i="231"/>
  <c r="J11" i="231"/>
  <c r="J10" i="231"/>
  <c r="E10" i="231"/>
  <c r="O9" i="231"/>
  <c r="S8" i="231"/>
  <c r="J8" i="231"/>
  <c r="J9" i="231" s="1"/>
  <c r="L7" i="231"/>
  <c r="F7" i="231"/>
  <c r="X6" i="231"/>
  <c r="O92" i="231" s="1"/>
  <c r="V6" i="231"/>
  <c r="T6" i="231"/>
  <c r="R6" i="231"/>
  <c r="P5" i="231"/>
  <c r="P8" i="231" s="1"/>
  <c r="N5" i="231"/>
  <c r="M5" i="231"/>
  <c r="K5" i="231"/>
  <c r="J5" i="231"/>
  <c r="J13" i="231" s="1"/>
  <c r="J14" i="231" s="1"/>
  <c r="U6" i="231" s="1"/>
  <c r="E5" i="231"/>
  <c r="N4" i="231"/>
  <c r="M4" i="231"/>
  <c r="J4" i="231"/>
  <c r="F4" i="231"/>
  <c r="E4" i="231"/>
  <c r="E19" i="231" s="1" a="1"/>
  <c r="E19" i="231" s="1"/>
  <c r="O47" i="67"/>
  <c r="O46" i="67"/>
  <c r="O45" i="67"/>
  <c r="O44" i="67"/>
  <c r="O43" i="67"/>
  <c r="O42" i="67"/>
  <c r="O41" i="67"/>
  <c r="H20" i="235" l="1"/>
  <c r="I20" i="235" s="1"/>
  <c r="O20" i="235" s="1"/>
  <c r="F24" i="235"/>
  <c r="F28" i="235"/>
  <c r="F39" i="235"/>
  <c r="P39" i="235" s="1"/>
  <c r="F43" i="235"/>
  <c r="P43" i="235" s="1"/>
  <c r="F22" i="235"/>
  <c r="F26" i="231"/>
  <c r="H28" i="231"/>
  <c r="I28" i="231" s="1"/>
  <c r="O28" i="231" s="1"/>
  <c r="F22" i="231"/>
  <c r="E7" i="231" a="1"/>
  <c r="E7" i="231" s="1"/>
  <c r="P7" i="231" s="1" a="1"/>
  <c r="P7" i="231" s="1"/>
  <c r="E20" i="231" a="1"/>
  <c r="E20" i="231" s="1"/>
  <c r="F38" i="231"/>
  <c r="P38" i="231" s="1"/>
  <c r="E9" i="231"/>
  <c r="P9" i="231" s="1"/>
  <c r="F20" i="231"/>
  <c r="E20" i="235" a="1"/>
  <c r="E20" i="235" s="1"/>
  <c r="F45" i="235"/>
  <c r="P45" i="235" s="1"/>
  <c r="M11" i="231"/>
  <c r="S6" i="231" s="1"/>
  <c r="P20" i="233"/>
  <c r="E7" i="235" a="1"/>
  <c r="E7" i="235" s="1"/>
  <c r="P7" i="235" s="1" a="1"/>
  <c r="P7" i="235" s="1"/>
  <c r="F45" i="236"/>
  <c r="P45" i="236" s="1"/>
  <c r="F40" i="235"/>
  <c r="P40" i="235" s="1"/>
  <c r="P10" i="233"/>
  <c r="E64" i="236"/>
  <c r="F44" i="236"/>
  <c r="P44" i="236" s="1"/>
  <c r="E19" i="236" a="1"/>
  <c r="E19" i="236" s="1"/>
  <c r="P8" i="236"/>
  <c r="A7" i="236"/>
  <c r="E7" i="236" a="1"/>
  <c r="E7" i="236" s="1"/>
  <c r="P7" i="236" s="1" a="1"/>
  <c r="P7" i="236" s="1"/>
  <c r="F40" i="236"/>
  <c r="P40" i="236" s="1"/>
  <c r="M11" i="236"/>
  <c r="S6" i="236" s="1"/>
  <c r="J67" i="236"/>
  <c r="N7" i="236"/>
  <c r="S12" i="236" s="1"/>
  <c r="N7" i="235"/>
  <c r="S12" i="235" s="1"/>
  <c r="P14" i="233"/>
  <c r="E64" i="233"/>
  <c r="E19" i="233" a="1"/>
  <c r="E19" i="233" s="1"/>
  <c r="E7" i="233" a="1"/>
  <c r="E7" i="233" s="1"/>
  <c r="P19" i="233"/>
  <c r="K14" i="235"/>
  <c r="S11" i="235"/>
  <c r="P64" i="236"/>
  <c r="P67" i="236" s="1"/>
  <c r="L65" i="236"/>
  <c r="L66" i="236" s="1"/>
  <c r="L67" i="236" s="1"/>
  <c r="H66" i="236"/>
  <c r="I66" i="236" s="1"/>
  <c r="O74" i="236" s="1"/>
  <c r="S10" i="236"/>
  <c r="I19" i="236"/>
  <c r="O19" i="236" s="1"/>
  <c r="S11" i="236"/>
  <c r="K14" i="236"/>
  <c r="F27" i="236"/>
  <c r="F19" i="236"/>
  <c r="F23" i="236"/>
  <c r="F25" i="236"/>
  <c r="H21" i="236"/>
  <c r="I21" i="236" s="1"/>
  <c r="O21" i="236" s="1"/>
  <c r="J7" i="236"/>
  <c r="H28" i="236"/>
  <c r="I28" i="236" s="1"/>
  <c r="O28" i="236" s="1"/>
  <c r="E9" i="236"/>
  <c r="P9" i="236" s="1"/>
  <c r="F22" i="236"/>
  <c r="F26" i="236"/>
  <c r="H20" i="236"/>
  <c r="I20" i="236" s="1"/>
  <c r="O20" i="236" s="1"/>
  <c r="H24" i="236"/>
  <c r="I24" i="236" s="1"/>
  <c r="O24" i="236" s="1"/>
  <c r="F43" i="236"/>
  <c r="P43" i="236" s="1"/>
  <c r="E20" i="236" a="1"/>
  <c r="E20" i="236" s="1"/>
  <c r="J67" i="235"/>
  <c r="E64" i="235"/>
  <c r="I64" i="235"/>
  <c r="P64" i="235"/>
  <c r="P67" i="235" s="1"/>
  <c r="L65" i="235"/>
  <c r="L66" i="235" s="1"/>
  <c r="L67" i="235" s="1"/>
  <c r="S10" i="235"/>
  <c r="I19" i="235"/>
  <c r="O19" i="235" s="1"/>
  <c r="F27" i="235"/>
  <c r="I66" i="235"/>
  <c r="F19" i="235"/>
  <c r="F21" i="235"/>
  <c r="F23" i="235"/>
  <c r="F25" i="235"/>
  <c r="S13" i="235"/>
  <c r="A7" i="235"/>
  <c r="J7" i="235"/>
  <c r="P19" i="235"/>
  <c r="P14" i="235"/>
  <c r="P64" i="233"/>
  <c r="P67" i="233" s="1"/>
  <c r="H66" i="233"/>
  <c r="I66" i="233" s="1"/>
  <c r="O76" i="233" s="1"/>
  <c r="L66" i="233"/>
  <c r="L67" i="233" s="1"/>
  <c r="P64" i="231"/>
  <c r="P67" i="231" s="1"/>
  <c r="J67" i="233"/>
  <c r="A7" i="233"/>
  <c r="N7" i="233"/>
  <c r="S12" i="233" s="1"/>
  <c r="P7" i="233" a="1"/>
  <c r="P7" i="233" s="1"/>
  <c r="S10" i="233"/>
  <c r="I19" i="233"/>
  <c r="O19" i="233" s="1"/>
  <c r="O77" i="233"/>
  <c r="K14" i="233"/>
  <c r="S11" i="233"/>
  <c r="H21" i="233"/>
  <c r="I21" i="233" s="1"/>
  <c r="O21" i="233" s="1"/>
  <c r="F19" i="233"/>
  <c r="H25" i="233"/>
  <c r="I25" i="233" s="1"/>
  <c r="O25" i="233" s="1"/>
  <c r="F23" i="233"/>
  <c r="H27" i="233"/>
  <c r="I27" i="233" s="1"/>
  <c r="O27" i="233" s="1"/>
  <c r="J7" i="233"/>
  <c r="F39" i="233"/>
  <c r="P39" i="233" s="1"/>
  <c r="E9" i="233"/>
  <c r="P9" i="233" s="1"/>
  <c r="F20" i="233"/>
  <c r="F22" i="233"/>
  <c r="F24" i="233"/>
  <c r="F26" i="233"/>
  <c r="F28" i="233"/>
  <c r="F43" i="233"/>
  <c r="P43" i="233" s="1"/>
  <c r="J67" i="231"/>
  <c r="E64" i="231"/>
  <c r="H66" i="231"/>
  <c r="I64" i="231"/>
  <c r="S10" i="231"/>
  <c r="K14" i="231"/>
  <c r="L65" i="231"/>
  <c r="L66" i="231" s="1"/>
  <c r="L67" i="231" s="1"/>
  <c r="P10" i="231"/>
  <c r="P20" i="231"/>
  <c r="A7" i="231"/>
  <c r="H19" i="231"/>
  <c r="H21" i="231"/>
  <c r="I21" i="231" s="1"/>
  <c r="O21" i="231" s="1"/>
  <c r="H23" i="231"/>
  <c r="I23" i="231" s="1"/>
  <c r="O23" i="231" s="1"/>
  <c r="H25" i="231"/>
  <c r="I25" i="231" s="1"/>
  <c r="O25" i="231" s="1"/>
  <c r="J7" i="231"/>
  <c r="H27" i="231"/>
  <c r="I27" i="231" s="1"/>
  <c r="O27" i="231" s="1"/>
  <c r="N7" i="231"/>
  <c r="S11" i="231" s="1"/>
  <c r="P19" i="231"/>
  <c r="P14" i="231"/>
  <c r="O90" i="185"/>
  <c r="O89" i="185"/>
  <c r="O88" i="185"/>
  <c r="O87" i="185"/>
  <c r="O86" i="185"/>
  <c r="O85" i="185"/>
  <c r="O84" i="185"/>
  <c r="O83" i="185"/>
  <c r="O82" i="185"/>
  <c r="O81" i="185"/>
  <c r="O80" i="185"/>
  <c r="O79" i="185"/>
  <c r="O90" i="191"/>
  <c r="O89" i="191"/>
  <c r="O88" i="191"/>
  <c r="O87" i="191"/>
  <c r="O86" i="191"/>
  <c r="O85" i="191"/>
  <c r="O84" i="191"/>
  <c r="O83" i="191"/>
  <c r="O82" i="191"/>
  <c r="O81" i="191"/>
  <c r="O80" i="191"/>
  <c r="O79" i="191"/>
  <c r="O78" i="191"/>
  <c r="O77" i="191"/>
  <c r="O90" i="168"/>
  <c r="O89" i="168"/>
  <c r="O88" i="168"/>
  <c r="O87" i="168"/>
  <c r="O86" i="168"/>
  <c r="O85" i="168"/>
  <c r="O84" i="168"/>
  <c r="O83" i="168"/>
  <c r="O82" i="168"/>
  <c r="O81" i="168"/>
  <c r="O80" i="168"/>
  <c r="O79" i="168"/>
  <c r="O78" i="168"/>
  <c r="O77" i="168"/>
  <c r="E2" i="235" l="1"/>
  <c r="E2" i="231"/>
  <c r="P91" i="235"/>
  <c r="Z6" i="235" s="1"/>
  <c r="P2" i="235" s="1"/>
  <c r="P92" i="235" s="1"/>
  <c r="O74" i="233"/>
  <c r="O73" i="233"/>
  <c r="P66" i="233" a="1"/>
  <c r="P66" i="233" s="1"/>
  <c r="S13" i="233"/>
  <c r="O76" i="236"/>
  <c r="O73" i="236"/>
  <c r="P66" i="236" a="1"/>
  <c r="P66" i="236" s="1"/>
  <c r="P91" i="236" s="1"/>
  <c r="Z6" i="236" s="1"/>
  <c r="P2" i="236" s="1"/>
  <c r="P92" i="236" s="1"/>
  <c r="S13" i="236"/>
  <c r="E2" i="236"/>
  <c r="O76" i="235"/>
  <c r="O74" i="235"/>
  <c r="O73" i="235"/>
  <c r="P91" i="233"/>
  <c r="W6" i="233" s="1"/>
  <c r="E2" i="233"/>
  <c r="I66" i="231"/>
  <c r="O77" i="231" s="1"/>
  <c r="S12" i="231"/>
  <c r="P66" i="231" a="1"/>
  <c r="P66" i="231" s="1"/>
  <c r="P91" i="231" s="1"/>
  <c r="I19" i="231"/>
  <c r="O19" i="231" s="1"/>
  <c r="S9" i="231"/>
  <c r="O74" i="139"/>
  <c r="O75" i="139"/>
  <c r="O76" i="139"/>
  <c r="O77" i="139"/>
  <c r="O78" i="139"/>
  <c r="O79" i="139"/>
  <c r="O80" i="139"/>
  <c r="O81" i="139"/>
  <c r="O82" i="139"/>
  <c r="O83" i="139"/>
  <c r="O84" i="139"/>
  <c r="O85" i="139"/>
  <c r="O86" i="139"/>
  <c r="O87" i="139"/>
  <c r="O88" i="139"/>
  <c r="O89" i="139"/>
  <c r="O90" i="139"/>
  <c r="P74" i="139"/>
  <c r="P75" i="139"/>
  <c r="P76" i="139"/>
  <c r="P77" i="139"/>
  <c r="P78" i="139"/>
  <c r="P79" i="139"/>
  <c r="P80" i="139"/>
  <c r="P81" i="139"/>
  <c r="P82" i="139"/>
  <c r="P83" i="139"/>
  <c r="P84" i="139"/>
  <c r="P85" i="139"/>
  <c r="P86" i="139"/>
  <c r="P87" i="139"/>
  <c r="P88" i="139"/>
  <c r="P89" i="139"/>
  <c r="P90" i="139"/>
  <c r="P73" i="139"/>
  <c r="O73" i="139"/>
  <c r="P90" i="185"/>
  <c r="P89" i="185"/>
  <c r="P88" i="185"/>
  <c r="P87" i="185"/>
  <c r="P86" i="185"/>
  <c r="P85" i="185"/>
  <c r="P84" i="185"/>
  <c r="P83" i="185"/>
  <c r="P82" i="185"/>
  <c r="P81" i="185"/>
  <c r="P80" i="185"/>
  <c r="P79" i="185"/>
  <c r="P78" i="185"/>
  <c r="P77" i="185"/>
  <c r="P76" i="185"/>
  <c r="P75" i="185"/>
  <c r="P74" i="185"/>
  <c r="P73" i="185"/>
  <c r="P90" i="191"/>
  <c r="P89" i="191"/>
  <c r="P88" i="191"/>
  <c r="P87" i="191"/>
  <c r="P86" i="191"/>
  <c r="P85" i="191"/>
  <c r="P84" i="191"/>
  <c r="P83" i="191"/>
  <c r="P82" i="191"/>
  <c r="P81" i="191"/>
  <c r="P80" i="191"/>
  <c r="P79" i="191"/>
  <c r="P78" i="191"/>
  <c r="P77" i="191"/>
  <c r="P76" i="191"/>
  <c r="P75" i="191"/>
  <c r="P74" i="191"/>
  <c r="P73" i="191"/>
  <c r="P90" i="168"/>
  <c r="P89" i="168"/>
  <c r="P88" i="168"/>
  <c r="P87" i="168"/>
  <c r="P86" i="168"/>
  <c r="P85" i="168"/>
  <c r="P84" i="168"/>
  <c r="P83" i="168"/>
  <c r="P82" i="168"/>
  <c r="P81" i="168"/>
  <c r="P80" i="168"/>
  <c r="P79" i="168"/>
  <c r="P78" i="168"/>
  <c r="P77" i="168"/>
  <c r="P76" i="168"/>
  <c r="P75" i="168"/>
  <c r="P74" i="168"/>
  <c r="P73" i="168"/>
  <c r="P42" i="67"/>
  <c r="P43" i="67"/>
  <c r="P44" i="67"/>
  <c r="P45" i="67"/>
  <c r="P46" i="67"/>
  <c r="P47" i="67"/>
  <c r="P41" i="67"/>
  <c r="G47" i="67"/>
  <c r="G46" i="67"/>
  <c r="G45" i="67"/>
  <c r="G44" i="67"/>
  <c r="G43" i="67"/>
  <c r="G42" i="67"/>
  <c r="G41" i="67"/>
  <c r="G90" i="185"/>
  <c r="G89" i="185"/>
  <c r="G88" i="185"/>
  <c r="G87" i="185"/>
  <c r="G86" i="185"/>
  <c r="G85" i="185"/>
  <c r="G84" i="185"/>
  <c r="G83" i="185"/>
  <c r="G82" i="185"/>
  <c r="G81" i="185"/>
  <c r="G80" i="185"/>
  <c r="G79" i="185"/>
  <c r="G78" i="185"/>
  <c r="G77" i="185"/>
  <c r="G76" i="185"/>
  <c r="G75" i="185"/>
  <c r="G74" i="185"/>
  <c r="G73" i="185"/>
  <c r="G90" i="191"/>
  <c r="G89" i="191"/>
  <c r="G88" i="191"/>
  <c r="G87" i="191"/>
  <c r="G86" i="191"/>
  <c r="G85" i="191"/>
  <c r="G84" i="191"/>
  <c r="G83" i="191"/>
  <c r="G82" i="191"/>
  <c r="G81" i="191"/>
  <c r="G80" i="191"/>
  <c r="G79" i="191"/>
  <c r="G78" i="191"/>
  <c r="G77" i="191"/>
  <c r="G76" i="191"/>
  <c r="G75" i="191"/>
  <c r="G74" i="191"/>
  <c r="G73" i="191"/>
  <c r="G90" i="168"/>
  <c r="G89" i="168"/>
  <c r="G88" i="168"/>
  <c r="G87" i="168"/>
  <c r="G86" i="168"/>
  <c r="G85" i="168"/>
  <c r="G84" i="168"/>
  <c r="G83" i="168"/>
  <c r="G82" i="168"/>
  <c r="G81" i="168"/>
  <c r="G80" i="168"/>
  <c r="G79" i="168"/>
  <c r="G78" i="168"/>
  <c r="G77" i="168"/>
  <c r="G76" i="168"/>
  <c r="G75" i="168"/>
  <c r="G74" i="168"/>
  <c r="G73" i="168"/>
  <c r="G90" i="139"/>
  <c r="G89" i="139"/>
  <c r="G88" i="139"/>
  <c r="G87" i="139"/>
  <c r="G86" i="139"/>
  <c r="G85" i="139"/>
  <c r="G84" i="139"/>
  <c r="G83" i="139"/>
  <c r="G82" i="139"/>
  <c r="G81" i="139"/>
  <c r="G80" i="139"/>
  <c r="G79" i="139"/>
  <c r="G78" i="139"/>
  <c r="G77" i="139"/>
  <c r="G76" i="139"/>
  <c r="G75" i="139"/>
  <c r="G74" i="139"/>
  <c r="G73" i="139"/>
  <c r="W6" i="235" l="1"/>
  <c r="W6" i="236"/>
  <c r="O74" i="231"/>
  <c r="O73" i="231"/>
  <c r="O78" i="231"/>
  <c r="Z6" i="233"/>
  <c r="P2" i="233" s="1"/>
  <c r="P92" i="233" s="1"/>
  <c r="W6" i="231"/>
  <c r="Z6" i="231"/>
  <c r="P2" i="231" s="1"/>
  <c r="P92" i="231" s="1"/>
  <c r="K90" i="191" l="1"/>
  <c r="I90" i="191"/>
  <c r="K89" i="191"/>
  <c r="I89" i="191"/>
  <c r="K88" i="191"/>
  <c r="I88" i="191"/>
  <c r="K87" i="191"/>
  <c r="I87" i="191"/>
  <c r="K86" i="191"/>
  <c r="I86" i="191"/>
  <c r="K85" i="191"/>
  <c r="I85" i="191"/>
  <c r="K84" i="191"/>
  <c r="I84" i="191"/>
  <c r="K83" i="191"/>
  <c r="I83" i="191"/>
  <c r="K82" i="191"/>
  <c r="I82" i="191"/>
  <c r="K81" i="191"/>
  <c r="I81" i="191"/>
  <c r="K80" i="191"/>
  <c r="I80" i="191"/>
  <c r="K79" i="191"/>
  <c r="I79" i="191"/>
  <c r="K78" i="191"/>
  <c r="I78" i="191"/>
  <c r="K77" i="191"/>
  <c r="I77" i="191"/>
  <c r="K76" i="191"/>
  <c r="I76" i="191"/>
  <c r="K75" i="191"/>
  <c r="I75" i="191"/>
  <c r="K74" i="191"/>
  <c r="I74" i="191"/>
  <c r="K73" i="191"/>
  <c r="I73" i="191"/>
  <c r="P71" i="191"/>
  <c r="O71" i="191"/>
  <c r="K71" i="191"/>
  <c r="G71" i="191"/>
  <c r="P70" i="191"/>
  <c r="O70" i="191"/>
  <c r="N70" i="191"/>
  <c r="K70" i="191"/>
  <c r="G70" i="191"/>
  <c r="P69" i="191"/>
  <c r="O69" i="191"/>
  <c r="N69" i="191"/>
  <c r="K69" i="191"/>
  <c r="G69" i="191"/>
  <c r="N67" i="191"/>
  <c r="F66" i="191" a="1"/>
  <c r="F66" i="191" s="1"/>
  <c r="P65" i="191"/>
  <c r="K65" i="191"/>
  <c r="E65" i="191"/>
  <c r="O64" i="191"/>
  <c r="M64" i="191"/>
  <c r="L64" i="191"/>
  <c r="L65" i="191" s="1"/>
  <c r="K64" i="191"/>
  <c r="J64" i="191"/>
  <c r="H64" i="191"/>
  <c r="I64" i="191" s="1"/>
  <c r="P57" i="191"/>
  <c r="O56" i="191"/>
  <c r="N56" i="191"/>
  <c r="L56" i="191"/>
  <c r="K56" i="191"/>
  <c r="H56" i="191"/>
  <c r="F56" i="191"/>
  <c r="P56" i="191" s="1"/>
  <c r="E56" i="191"/>
  <c r="O55" i="191"/>
  <c r="N55" i="191"/>
  <c r="L55" i="191"/>
  <c r="K55" i="191"/>
  <c r="H55" i="191"/>
  <c r="F55" i="191"/>
  <c r="P55" i="191" s="1"/>
  <c r="E55" i="191"/>
  <c r="O54" i="191"/>
  <c r="N54" i="191"/>
  <c r="L54" i="191"/>
  <c r="K54" i="191"/>
  <c r="H54" i="191"/>
  <c r="F54" i="191"/>
  <c r="P54" i="191" s="1"/>
  <c r="E54" i="191"/>
  <c r="O53" i="191"/>
  <c r="N53" i="191"/>
  <c r="L53" i="191"/>
  <c r="K53" i="191"/>
  <c r="H53" i="191"/>
  <c r="F53" i="191"/>
  <c r="P53" i="191" s="1"/>
  <c r="E53" i="191"/>
  <c r="O52" i="191"/>
  <c r="N52" i="191"/>
  <c r="L52" i="191"/>
  <c r="K52" i="191"/>
  <c r="H52" i="191"/>
  <c r="F52" i="191"/>
  <c r="P52" i="191" s="1"/>
  <c r="E52" i="191"/>
  <c r="O51" i="191"/>
  <c r="N51" i="191"/>
  <c r="L51" i="191"/>
  <c r="K51" i="191"/>
  <c r="H51" i="191"/>
  <c r="F51" i="191"/>
  <c r="P51" i="191" s="1"/>
  <c r="E51" i="191"/>
  <c r="O50" i="191"/>
  <c r="N50" i="191"/>
  <c r="L50" i="191"/>
  <c r="K50" i="191"/>
  <c r="H50" i="191"/>
  <c r="F50" i="191"/>
  <c r="P50" i="191" s="1"/>
  <c r="E50" i="191"/>
  <c r="O49" i="191"/>
  <c r="N49" i="191"/>
  <c r="L49" i="191"/>
  <c r="K49" i="191"/>
  <c r="H49" i="191"/>
  <c r="F49" i="191"/>
  <c r="P49" i="191" s="1"/>
  <c r="E49" i="191"/>
  <c r="O48" i="191"/>
  <c r="N48" i="191"/>
  <c r="L48" i="191"/>
  <c r="K48" i="191"/>
  <c r="H48" i="191"/>
  <c r="F48" i="191"/>
  <c r="P48" i="191" s="1"/>
  <c r="E48" i="191"/>
  <c r="O47" i="191"/>
  <c r="N47" i="191"/>
  <c r="L47" i="191"/>
  <c r="K47" i="191"/>
  <c r="H47" i="191"/>
  <c r="F47" i="191"/>
  <c r="P47" i="191" s="1"/>
  <c r="E47" i="191"/>
  <c r="O46" i="191"/>
  <c r="N46" i="191"/>
  <c r="L46" i="191"/>
  <c r="K46" i="191"/>
  <c r="H46" i="191"/>
  <c r="F46" i="191"/>
  <c r="P46" i="191" s="1"/>
  <c r="E46" i="191"/>
  <c r="O45" i="191"/>
  <c r="N45" i="191"/>
  <c r="L45" i="191"/>
  <c r="K45" i="191"/>
  <c r="H45" i="191"/>
  <c r="F45" i="191"/>
  <c r="P45" i="191" s="1"/>
  <c r="E45" i="191"/>
  <c r="O44" i="191"/>
  <c r="N44" i="191"/>
  <c r="L44" i="191"/>
  <c r="K44" i="191"/>
  <c r="H44" i="191"/>
  <c r="F44" i="191"/>
  <c r="P44" i="191" s="1"/>
  <c r="E44" i="191"/>
  <c r="O43" i="191"/>
  <c r="N43" i="191"/>
  <c r="L43" i="191"/>
  <c r="K43" i="191"/>
  <c r="H43" i="191"/>
  <c r="F43" i="191"/>
  <c r="P43" i="191" s="1"/>
  <c r="E43" i="191"/>
  <c r="O42" i="191"/>
  <c r="N42" i="191"/>
  <c r="L42" i="191"/>
  <c r="K42" i="191"/>
  <c r="H42" i="191"/>
  <c r="F42" i="191"/>
  <c r="P42" i="191" s="1"/>
  <c r="E42" i="191"/>
  <c r="O41" i="191"/>
  <c r="N41" i="191"/>
  <c r="L41" i="191"/>
  <c r="K41" i="191"/>
  <c r="H41" i="191"/>
  <c r="F41" i="191"/>
  <c r="P41" i="191" s="1"/>
  <c r="E41" i="191"/>
  <c r="O40" i="191"/>
  <c r="N40" i="191"/>
  <c r="L40" i="191"/>
  <c r="K40" i="191"/>
  <c r="H40" i="191"/>
  <c r="F40" i="191"/>
  <c r="P40" i="191" s="1"/>
  <c r="E40" i="191"/>
  <c r="O39" i="191"/>
  <c r="N39" i="191"/>
  <c r="L39" i="191"/>
  <c r="K39" i="191"/>
  <c r="H39" i="191"/>
  <c r="F39" i="191"/>
  <c r="P39" i="191" s="1"/>
  <c r="E39" i="191"/>
  <c r="O38" i="191"/>
  <c r="N38" i="191"/>
  <c r="L38" i="191"/>
  <c r="K38" i="191"/>
  <c r="H38" i="191"/>
  <c r="F38" i="191"/>
  <c r="P38" i="191" s="1"/>
  <c r="E38" i="191"/>
  <c r="O37" i="191"/>
  <c r="N37" i="191"/>
  <c r="L37" i="191"/>
  <c r="K37" i="191"/>
  <c r="H37" i="191"/>
  <c r="F37" i="191"/>
  <c r="P37" i="191" s="1"/>
  <c r="E37" i="191"/>
  <c r="O36" i="191"/>
  <c r="N36" i="191"/>
  <c r="L36" i="191"/>
  <c r="K36" i="191"/>
  <c r="H36" i="191"/>
  <c r="O34" i="191"/>
  <c r="N34" i="191"/>
  <c r="K34" i="191"/>
  <c r="H34" i="191"/>
  <c r="F34" i="191"/>
  <c r="P34" i="191" s="1"/>
  <c r="E34" i="191"/>
  <c r="O33" i="191"/>
  <c r="N33" i="191"/>
  <c r="K33" i="191"/>
  <c r="H33" i="191"/>
  <c r="F33" i="191"/>
  <c r="P33" i="191" s="1"/>
  <c r="E33" i="191"/>
  <c r="O32" i="191"/>
  <c r="N32" i="191"/>
  <c r="K32" i="191"/>
  <c r="H32" i="191"/>
  <c r="F32" i="191"/>
  <c r="P32" i="191" s="1"/>
  <c r="E32" i="191"/>
  <c r="O31" i="191"/>
  <c r="N31" i="191"/>
  <c r="K31" i="191"/>
  <c r="H31" i="191"/>
  <c r="F31" i="191"/>
  <c r="P31" i="191" s="1"/>
  <c r="E31" i="191"/>
  <c r="O30" i="191"/>
  <c r="N30" i="191"/>
  <c r="K30" i="191"/>
  <c r="H30" i="191"/>
  <c r="F30" i="191"/>
  <c r="P30" i="191" s="1"/>
  <c r="E30" i="191"/>
  <c r="P28" i="191"/>
  <c r="J28" i="191"/>
  <c r="D28" i="191"/>
  <c r="L28" i="191" s="1"/>
  <c r="M28" i="191" s="1"/>
  <c r="C28" i="191"/>
  <c r="H28" i="191" s="1"/>
  <c r="I28" i="191" s="1"/>
  <c r="O28" i="191" s="1"/>
  <c r="A28" i="191"/>
  <c r="P27" i="191"/>
  <c r="J27" i="191"/>
  <c r="D27" i="191"/>
  <c r="L27" i="191" s="1"/>
  <c r="M27" i="191" s="1"/>
  <c r="C27" i="191"/>
  <c r="H27" i="191" s="1"/>
  <c r="I27" i="191" s="1"/>
  <c r="O27" i="191" s="1"/>
  <c r="A27" i="191"/>
  <c r="P26" i="191"/>
  <c r="J26" i="191"/>
  <c r="E26" i="191" a="1"/>
  <c r="E26" i="191" s="1"/>
  <c r="D26" i="191"/>
  <c r="L26" i="191" s="1"/>
  <c r="M26" i="191" s="1"/>
  <c r="C26" i="191"/>
  <c r="H26" i="191" s="1"/>
  <c r="I26" i="191" s="1"/>
  <c r="O26" i="191" s="1"/>
  <c r="P25" i="191"/>
  <c r="J25" i="191"/>
  <c r="E25" i="191" a="1"/>
  <c r="E25" i="191" s="1"/>
  <c r="D25" i="191"/>
  <c r="L25" i="191" s="1"/>
  <c r="M25" i="191" s="1"/>
  <c r="C25" i="191"/>
  <c r="H25" i="191" s="1"/>
  <c r="I25" i="191" s="1"/>
  <c r="O25" i="191" s="1"/>
  <c r="P24" i="191"/>
  <c r="J24" i="191"/>
  <c r="E24" i="191" a="1"/>
  <c r="E24" i="191" s="1"/>
  <c r="D24" i="191"/>
  <c r="L24" i="191" s="1"/>
  <c r="M24" i="191" s="1"/>
  <c r="C24" i="191"/>
  <c r="H24" i="191" s="1"/>
  <c r="I24" i="191" s="1"/>
  <c r="O24" i="191" s="1"/>
  <c r="P23" i="191"/>
  <c r="J23" i="191"/>
  <c r="E23" i="191" a="1"/>
  <c r="E23" i="191" s="1"/>
  <c r="D23" i="191"/>
  <c r="L23" i="191" s="1"/>
  <c r="M23" i="191" s="1"/>
  <c r="C23" i="191"/>
  <c r="F23" i="191" s="1"/>
  <c r="P22" i="191"/>
  <c r="J22" i="191"/>
  <c r="E22" i="191" a="1"/>
  <c r="E22" i="191" s="1"/>
  <c r="D22" i="191"/>
  <c r="L22" i="191" s="1"/>
  <c r="M22" i="191" s="1"/>
  <c r="C22" i="191"/>
  <c r="H22" i="191" s="1"/>
  <c r="I22" i="191" s="1"/>
  <c r="O22" i="191" s="1"/>
  <c r="P21" i="191"/>
  <c r="J21" i="191"/>
  <c r="E21" i="191" a="1"/>
  <c r="E21" i="191" s="1"/>
  <c r="D21" i="191"/>
  <c r="L21" i="191" s="1"/>
  <c r="M21" i="191" s="1"/>
  <c r="C21" i="191"/>
  <c r="F21" i="191" s="1"/>
  <c r="J20" i="191"/>
  <c r="D20" i="191"/>
  <c r="L20" i="191" s="1"/>
  <c r="M20" i="191" s="1"/>
  <c r="C20" i="191"/>
  <c r="H20" i="191" s="1"/>
  <c r="I20" i="191" s="1"/>
  <c r="O20" i="191" s="1"/>
  <c r="L19" i="191"/>
  <c r="M19" i="191" s="1"/>
  <c r="J19" i="191"/>
  <c r="C19" i="191"/>
  <c r="F19" i="191" s="1"/>
  <c r="N17" i="191"/>
  <c r="E17" i="191"/>
  <c r="P17" i="191" s="1"/>
  <c r="P16" i="191"/>
  <c r="N16" i="191"/>
  <c r="E16" i="191"/>
  <c r="N15" i="191"/>
  <c r="J15" i="191"/>
  <c r="J16" i="191" s="1"/>
  <c r="E15" i="191"/>
  <c r="P15" i="191" s="1"/>
  <c r="J14" i="191"/>
  <c r="U6" i="191" s="1"/>
  <c r="S14" i="191"/>
  <c r="O13" i="191"/>
  <c r="P11" i="191"/>
  <c r="J11" i="191"/>
  <c r="J10" i="191"/>
  <c r="E10" i="191"/>
  <c r="O9" i="191"/>
  <c r="S9" i="191"/>
  <c r="J8" i="191"/>
  <c r="J9" i="191" s="1"/>
  <c r="L7" i="191"/>
  <c r="F7" i="191"/>
  <c r="X6" i="191"/>
  <c r="O92" i="191" s="1"/>
  <c r="V6" i="191"/>
  <c r="T6" i="191"/>
  <c r="R6" i="191"/>
  <c r="P5" i="191"/>
  <c r="P13" i="191" s="1"/>
  <c r="N5" i="191"/>
  <c r="M5" i="191"/>
  <c r="K5" i="191"/>
  <c r="J5" i="191"/>
  <c r="J13" i="191" s="1"/>
  <c r="N4" i="191"/>
  <c r="M4" i="191"/>
  <c r="J4" i="191"/>
  <c r="F4" i="191"/>
  <c r="E4" i="191"/>
  <c r="E9" i="191" s="1"/>
  <c r="P9" i="191" s="1"/>
  <c r="M28" i="139"/>
  <c r="M27" i="139"/>
  <c r="M26" i="139"/>
  <c r="M25" i="139"/>
  <c r="M24" i="139"/>
  <c r="M23" i="139"/>
  <c r="M22" i="139"/>
  <c r="M21" i="139"/>
  <c r="M20" i="139"/>
  <c r="M19" i="139"/>
  <c r="N7" i="191" l="1"/>
  <c r="S12" i="191" s="1"/>
  <c r="M11" i="191"/>
  <c r="S6" i="191" s="1"/>
  <c r="E36" i="191"/>
  <c r="F36" i="191"/>
  <c r="P36" i="191" s="1"/>
  <c r="E64" i="191"/>
  <c r="P20" i="191"/>
  <c r="P14" i="191"/>
  <c r="P10" i="191"/>
  <c r="E20" i="191" a="1"/>
  <c r="E20" i="191" s="1"/>
  <c r="E19" i="191" a="1"/>
  <c r="E19" i="191" s="1"/>
  <c r="E5" i="191"/>
  <c r="E7" i="191" a="1"/>
  <c r="E7" i="191" s="1"/>
  <c r="P7" i="191" s="1" a="1"/>
  <c r="P7" i="191" s="1"/>
  <c r="P8" i="191"/>
  <c r="P19" i="191"/>
  <c r="L66" i="191"/>
  <c r="L67" i="191" s="1"/>
  <c r="P64" i="191"/>
  <c r="P67" i="191" s="1"/>
  <c r="J67" i="191"/>
  <c r="S11" i="191"/>
  <c r="K14" i="191"/>
  <c r="H66" i="191"/>
  <c r="F27" i="191"/>
  <c r="A7" i="191"/>
  <c r="H21" i="191"/>
  <c r="I21" i="191" s="1"/>
  <c r="O21" i="191" s="1"/>
  <c r="H23" i="191"/>
  <c r="I23" i="191" s="1"/>
  <c r="O23" i="191" s="1"/>
  <c r="H19" i="191"/>
  <c r="J7" i="191"/>
  <c r="F25" i="191"/>
  <c r="F28" i="191"/>
  <c r="F20" i="191"/>
  <c r="F22" i="191"/>
  <c r="F24" i="191"/>
  <c r="F26" i="191"/>
  <c r="E2" i="191" l="1"/>
  <c r="I19" i="191"/>
  <c r="O19" i="191" s="1"/>
  <c r="S10" i="191"/>
  <c r="I66" i="191"/>
  <c r="S13" i="191"/>
  <c r="P66" i="191" a="1"/>
  <c r="P66" i="191" s="1"/>
  <c r="P91" i="191" s="1"/>
  <c r="O76" i="191" l="1"/>
  <c r="O75" i="191"/>
  <c r="Z6" i="191"/>
  <c r="P2" i="191" s="1"/>
  <c r="P92" i="191" s="1"/>
  <c r="W6" i="191"/>
  <c r="K90" i="185" l="1"/>
  <c r="I90" i="185"/>
  <c r="K89" i="185"/>
  <c r="I89" i="185"/>
  <c r="K88" i="185"/>
  <c r="I88" i="185"/>
  <c r="K87" i="185"/>
  <c r="I87" i="185"/>
  <c r="K86" i="185"/>
  <c r="I86" i="185"/>
  <c r="K85" i="185"/>
  <c r="I85" i="185"/>
  <c r="K84" i="185"/>
  <c r="I84" i="185"/>
  <c r="K83" i="185"/>
  <c r="I83" i="185"/>
  <c r="K82" i="185"/>
  <c r="I82" i="185"/>
  <c r="K81" i="185"/>
  <c r="I81" i="185"/>
  <c r="K80" i="185"/>
  <c r="I80" i="185"/>
  <c r="K79" i="185"/>
  <c r="I79" i="185"/>
  <c r="K78" i="185"/>
  <c r="I78" i="185"/>
  <c r="K77" i="185"/>
  <c r="I77" i="185"/>
  <c r="K76" i="185"/>
  <c r="I76" i="185"/>
  <c r="K75" i="185"/>
  <c r="I75" i="185"/>
  <c r="K74" i="185"/>
  <c r="I74" i="185"/>
  <c r="K73" i="185"/>
  <c r="I73" i="185"/>
  <c r="P71" i="185"/>
  <c r="O71" i="185"/>
  <c r="K71" i="185"/>
  <c r="G71" i="185"/>
  <c r="P70" i="185"/>
  <c r="O70" i="185"/>
  <c r="N70" i="185"/>
  <c r="K70" i="185"/>
  <c r="G70" i="185"/>
  <c r="P69" i="185"/>
  <c r="O69" i="185"/>
  <c r="N69" i="185"/>
  <c r="K69" i="185"/>
  <c r="G69" i="185"/>
  <c r="N67" i="185"/>
  <c r="F66" i="185" a="1"/>
  <c r="F66" i="185" s="1"/>
  <c r="P65" i="185"/>
  <c r="K65" i="185"/>
  <c r="E65" i="185"/>
  <c r="O64" i="185"/>
  <c r="M64" i="185"/>
  <c r="L64" i="185"/>
  <c r="L65" i="185" s="1"/>
  <c r="K64" i="185"/>
  <c r="J64" i="185"/>
  <c r="H64" i="185"/>
  <c r="H66" i="185" s="1"/>
  <c r="S13" i="185" s="1"/>
  <c r="E57" i="185"/>
  <c r="P57" i="185" s="1"/>
  <c r="O56" i="185"/>
  <c r="N56" i="185"/>
  <c r="L56" i="185"/>
  <c r="K56" i="185"/>
  <c r="H56" i="185"/>
  <c r="F56" i="185"/>
  <c r="P56" i="185" s="1"/>
  <c r="E56" i="185"/>
  <c r="O55" i="185"/>
  <c r="N55" i="185"/>
  <c r="L55" i="185"/>
  <c r="K55" i="185"/>
  <c r="H55" i="185"/>
  <c r="F55" i="185"/>
  <c r="P55" i="185" s="1"/>
  <c r="E55" i="185"/>
  <c r="O54" i="185"/>
  <c r="N54" i="185"/>
  <c r="L54" i="185"/>
  <c r="K54" i="185"/>
  <c r="H54" i="185"/>
  <c r="F54" i="185"/>
  <c r="P54" i="185" s="1"/>
  <c r="E54" i="185"/>
  <c r="O53" i="185"/>
  <c r="N53" i="185"/>
  <c r="L53" i="185"/>
  <c r="K53" i="185"/>
  <c r="H53" i="185"/>
  <c r="F53" i="185"/>
  <c r="P53" i="185" s="1"/>
  <c r="E53" i="185"/>
  <c r="O52" i="185"/>
  <c r="N52" i="185"/>
  <c r="L52" i="185"/>
  <c r="K52" i="185"/>
  <c r="H52" i="185"/>
  <c r="F52" i="185"/>
  <c r="P52" i="185" s="1"/>
  <c r="E52" i="185"/>
  <c r="O51" i="185"/>
  <c r="N51" i="185"/>
  <c r="L51" i="185"/>
  <c r="K51" i="185"/>
  <c r="H51" i="185"/>
  <c r="F51" i="185"/>
  <c r="P51" i="185" s="1"/>
  <c r="E51" i="185"/>
  <c r="O50" i="185"/>
  <c r="N50" i="185"/>
  <c r="L50" i="185"/>
  <c r="K50" i="185"/>
  <c r="H50" i="185"/>
  <c r="F50" i="185"/>
  <c r="P50" i="185" s="1"/>
  <c r="E50" i="185"/>
  <c r="O49" i="185"/>
  <c r="N49" i="185"/>
  <c r="L49" i="185"/>
  <c r="K49" i="185"/>
  <c r="H49" i="185"/>
  <c r="F49" i="185"/>
  <c r="P49" i="185" s="1"/>
  <c r="E49" i="185"/>
  <c r="O48" i="185"/>
  <c r="N48" i="185"/>
  <c r="L48" i="185"/>
  <c r="K48" i="185"/>
  <c r="H48" i="185"/>
  <c r="E48" i="185"/>
  <c r="O47" i="185"/>
  <c r="N47" i="185"/>
  <c r="L47" i="185"/>
  <c r="K47" i="185"/>
  <c r="H47" i="185"/>
  <c r="F47" i="185"/>
  <c r="P47" i="185" s="1"/>
  <c r="E47" i="185"/>
  <c r="O46" i="185"/>
  <c r="N46" i="185"/>
  <c r="L46" i="185"/>
  <c r="K46" i="185"/>
  <c r="H46" i="185"/>
  <c r="F46" i="185"/>
  <c r="P46" i="185" s="1"/>
  <c r="E46" i="185"/>
  <c r="O45" i="185"/>
  <c r="N45" i="185"/>
  <c r="L45" i="185"/>
  <c r="K45" i="185"/>
  <c r="H45" i="185"/>
  <c r="E45" i="185"/>
  <c r="O44" i="185"/>
  <c r="N44" i="185"/>
  <c r="L44" i="185"/>
  <c r="K44" i="185"/>
  <c r="H44" i="185"/>
  <c r="E44" i="185"/>
  <c r="O43" i="185"/>
  <c r="N43" i="185"/>
  <c r="L43" i="185"/>
  <c r="K43" i="185"/>
  <c r="H43" i="185"/>
  <c r="F43" i="185"/>
  <c r="P43" i="185" s="1"/>
  <c r="E43" i="185"/>
  <c r="O42" i="185"/>
  <c r="N42" i="185"/>
  <c r="L42" i="185"/>
  <c r="K42" i="185"/>
  <c r="H42" i="185"/>
  <c r="F42" i="185"/>
  <c r="P42" i="185" s="1"/>
  <c r="E42" i="185"/>
  <c r="O41" i="185"/>
  <c r="N41" i="185"/>
  <c r="L41" i="185"/>
  <c r="K41" i="185"/>
  <c r="H41" i="185"/>
  <c r="F41" i="185"/>
  <c r="P41" i="185" s="1"/>
  <c r="E41" i="185"/>
  <c r="O40" i="185"/>
  <c r="N40" i="185"/>
  <c r="L40" i="185"/>
  <c r="K40" i="185"/>
  <c r="H40" i="185"/>
  <c r="E40" i="185"/>
  <c r="O39" i="185"/>
  <c r="N39" i="185"/>
  <c r="L39" i="185"/>
  <c r="K39" i="185"/>
  <c r="H39" i="185"/>
  <c r="F39" i="185"/>
  <c r="P39" i="185" s="1"/>
  <c r="E39" i="185"/>
  <c r="O38" i="185"/>
  <c r="N38" i="185"/>
  <c r="L38" i="185"/>
  <c r="K38" i="185"/>
  <c r="H38" i="185"/>
  <c r="F38" i="185"/>
  <c r="P38" i="185" s="1"/>
  <c r="E38" i="185"/>
  <c r="O37" i="185"/>
  <c r="N37" i="185"/>
  <c r="L37" i="185"/>
  <c r="K37" i="185"/>
  <c r="H37" i="185"/>
  <c r="F37" i="185"/>
  <c r="P37" i="185" s="1"/>
  <c r="E37" i="185"/>
  <c r="O36" i="185"/>
  <c r="N36" i="185"/>
  <c r="L36" i="185"/>
  <c r="K36" i="185"/>
  <c r="H36" i="185"/>
  <c r="F36" i="185"/>
  <c r="P36" i="185" s="1"/>
  <c r="E36" i="185"/>
  <c r="O34" i="185"/>
  <c r="N34" i="185"/>
  <c r="K34" i="185"/>
  <c r="H34" i="185"/>
  <c r="F34" i="185"/>
  <c r="P34" i="185" s="1"/>
  <c r="E34" i="185"/>
  <c r="O33" i="185"/>
  <c r="N33" i="185"/>
  <c r="K33" i="185"/>
  <c r="H33" i="185"/>
  <c r="F33" i="185"/>
  <c r="P33" i="185" s="1"/>
  <c r="E33" i="185"/>
  <c r="O32" i="185"/>
  <c r="N32" i="185"/>
  <c r="K32" i="185"/>
  <c r="H32" i="185"/>
  <c r="F32" i="185"/>
  <c r="P32" i="185" s="1"/>
  <c r="E32" i="185"/>
  <c r="O31" i="185"/>
  <c r="N31" i="185"/>
  <c r="K31" i="185"/>
  <c r="H31" i="185"/>
  <c r="F31" i="185"/>
  <c r="P31" i="185" s="1"/>
  <c r="E31" i="185"/>
  <c r="O30" i="185"/>
  <c r="N30" i="185"/>
  <c r="K30" i="185"/>
  <c r="H30" i="185"/>
  <c r="F30" i="185"/>
  <c r="P30" i="185" s="1"/>
  <c r="E30" i="185"/>
  <c r="P28" i="185"/>
  <c r="J28" i="185"/>
  <c r="H28" i="185"/>
  <c r="I28" i="185" s="1"/>
  <c r="O28" i="185" s="1"/>
  <c r="F28" i="185"/>
  <c r="D28" i="185"/>
  <c r="L28" i="185" s="1"/>
  <c r="M28" i="185" s="1"/>
  <c r="C28" i="185"/>
  <c r="A28" i="185"/>
  <c r="P27" i="185"/>
  <c r="J27" i="185"/>
  <c r="D27" i="185"/>
  <c r="L27" i="185" s="1"/>
  <c r="M27" i="185" s="1"/>
  <c r="C27" i="185"/>
  <c r="H27" i="185" s="1"/>
  <c r="I27" i="185" s="1"/>
  <c r="O27" i="185" s="1"/>
  <c r="A27" i="185"/>
  <c r="P26" i="185"/>
  <c r="J26" i="185"/>
  <c r="E26" i="185" a="1"/>
  <c r="E26" i="185" s="1"/>
  <c r="D26" i="185"/>
  <c r="L26" i="185" s="1"/>
  <c r="M26" i="185" s="1"/>
  <c r="C26" i="185"/>
  <c r="H26" i="185" s="1"/>
  <c r="I26" i="185" s="1"/>
  <c r="O26" i="185" s="1"/>
  <c r="P25" i="185"/>
  <c r="J25" i="185"/>
  <c r="E25" i="185" a="1"/>
  <c r="E25" i="185" s="1"/>
  <c r="D25" i="185"/>
  <c r="L25" i="185" s="1"/>
  <c r="M25" i="185" s="1"/>
  <c r="C25" i="185"/>
  <c r="F25" i="185" s="1"/>
  <c r="P24" i="185"/>
  <c r="J24" i="185"/>
  <c r="H24" i="185"/>
  <c r="I24" i="185" s="1"/>
  <c r="O24" i="185" s="1"/>
  <c r="E24" i="185" a="1"/>
  <c r="E24" i="185" s="1"/>
  <c r="D24" i="185"/>
  <c r="L24" i="185" s="1"/>
  <c r="M24" i="185" s="1"/>
  <c r="C24" i="185"/>
  <c r="F24" i="185" s="1"/>
  <c r="P23" i="185"/>
  <c r="J23" i="185"/>
  <c r="E23" i="185" a="1"/>
  <c r="E23" i="185" s="1"/>
  <c r="D23" i="185"/>
  <c r="L23" i="185" s="1"/>
  <c r="M23" i="185" s="1"/>
  <c r="C23" i="185"/>
  <c r="H23" i="185" s="1"/>
  <c r="I23" i="185" s="1"/>
  <c r="O23" i="185" s="1"/>
  <c r="P22" i="185"/>
  <c r="J22" i="185"/>
  <c r="E22" i="185" a="1"/>
  <c r="E22" i="185" s="1"/>
  <c r="D22" i="185"/>
  <c r="L22" i="185" s="1"/>
  <c r="M22" i="185" s="1"/>
  <c r="C22" i="185"/>
  <c r="H22" i="185" s="1"/>
  <c r="I22" i="185" s="1"/>
  <c r="O22" i="185" s="1"/>
  <c r="P21" i="185"/>
  <c r="J21" i="185"/>
  <c r="H21" i="185"/>
  <c r="I21" i="185" s="1"/>
  <c r="O21" i="185" s="1"/>
  <c r="F21" i="185"/>
  <c r="E21" i="185" a="1"/>
  <c r="E21" i="185" s="1"/>
  <c r="D21" i="185"/>
  <c r="L21" i="185" s="1"/>
  <c r="M21" i="185" s="1"/>
  <c r="C21" i="185"/>
  <c r="J20" i="185"/>
  <c r="D20" i="185"/>
  <c r="L20" i="185" s="1"/>
  <c r="M20" i="185" s="1"/>
  <c r="C20" i="185"/>
  <c r="H20" i="185" s="1"/>
  <c r="I20" i="185" s="1"/>
  <c r="O20" i="185" s="1"/>
  <c r="J19" i="185"/>
  <c r="D19" i="185"/>
  <c r="L19" i="185" s="1"/>
  <c r="M19" i="185" s="1"/>
  <c r="O76" i="185" s="1"/>
  <c r="C19" i="185"/>
  <c r="H19" i="185" s="1"/>
  <c r="I19" i="185" s="1"/>
  <c r="O19" i="185" s="1"/>
  <c r="N17" i="185"/>
  <c r="E17" i="185"/>
  <c r="P17" i="185" s="1"/>
  <c r="P16" i="185"/>
  <c r="N16" i="185"/>
  <c r="E16" i="185"/>
  <c r="S14" i="185"/>
  <c r="N15" i="185"/>
  <c r="J15" i="185"/>
  <c r="J16" i="185" s="1"/>
  <c r="E15" i="185"/>
  <c r="P15" i="185" s="1"/>
  <c r="P13" i="185"/>
  <c r="O13" i="185"/>
  <c r="J13" i="185"/>
  <c r="J14" i="185" s="1"/>
  <c r="U6" i="185" s="1"/>
  <c r="P11" i="185"/>
  <c r="J11" i="185"/>
  <c r="S9" i="185"/>
  <c r="J10" i="185"/>
  <c r="E10" i="185"/>
  <c r="O9" i="185"/>
  <c r="J8" i="185"/>
  <c r="J9" i="185" s="1"/>
  <c r="L7" i="185"/>
  <c r="F7" i="185"/>
  <c r="X6" i="185"/>
  <c r="O92" i="185" s="1"/>
  <c r="V6" i="185"/>
  <c r="T6" i="185"/>
  <c r="R6" i="185"/>
  <c r="P5" i="185"/>
  <c r="P10" i="185" s="1"/>
  <c r="N5" i="185"/>
  <c r="M5" i="185"/>
  <c r="K5" i="185"/>
  <c r="J5" i="185"/>
  <c r="E5" i="185"/>
  <c r="N4" i="185"/>
  <c r="M4" i="185"/>
  <c r="J4" i="185"/>
  <c r="F4" i="185"/>
  <c r="E4" i="185"/>
  <c r="F40" i="185" s="1"/>
  <c r="P40" i="185" s="1"/>
  <c r="H25" i="185" l="1"/>
  <c r="I25" i="185" s="1"/>
  <c r="O25" i="185" s="1"/>
  <c r="F22" i="185"/>
  <c r="F26" i="185"/>
  <c r="F23" i="185"/>
  <c r="M11" i="185"/>
  <c r="S6" i="185" s="1"/>
  <c r="L66" i="185"/>
  <c r="F20" i="185"/>
  <c r="F19" i="185"/>
  <c r="E9" i="185"/>
  <c r="P9" i="185" s="1"/>
  <c r="P64" i="185"/>
  <c r="P67" i="185" s="1"/>
  <c r="I64" i="185"/>
  <c r="E64" i="185"/>
  <c r="J67" i="185"/>
  <c r="L67" i="185"/>
  <c r="K14" i="185"/>
  <c r="S11" i="185"/>
  <c r="S10" i="185"/>
  <c r="P20" i="185"/>
  <c r="E19" i="185" a="1"/>
  <c r="E19" i="185" s="1"/>
  <c r="F44" i="185"/>
  <c r="P44" i="185" s="1"/>
  <c r="A7" i="185"/>
  <c r="F27" i="185"/>
  <c r="I66" i="185"/>
  <c r="E7" i="185" a="1"/>
  <c r="E7" i="185" s="1"/>
  <c r="P7" i="185" s="1" a="1"/>
  <c r="P7" i="185" s="1"/>
  <c r="P66" i="185" a="1"/>
  <c r="P66" i="185" s="1"/>
  <c r="J7" i="185"/>
  <c r="N7" i="185"/>
  <c r="S12" i="185" s="1"/>
  <c r="P14" i="185"/>
  <c r="F45" i="185"/>
  <c r="P45" i="185" s="1"/>
  <c r="F48" i="185"/>
  <c r="P48" i="185" s="1"/>
  <c r="P19" i="185"/>
  <c r="P8" i="185"/>
  <c r="E20" i="185" a="1"/>
  <c r="E20" i="185" s="1"/>
  <c r="O74" i="185" l="1"/>
  <c r="O73" i="185"/>
  <c r="O78" i="185"/>
  <c r="O77" i="185"/>
  <c r="O75" i="185"/>
  <c r="P91" i="185"/>
  <c r="Z6" i="185" s="1"/>
  <c r="P2" i="185" s="1"/>
  <c r="P92" i="185" s="1"/>
  <c r="E2" i="185"/>
  <c r="L19" i="168"/>
  <c r="M19" i="168" s="1"/>
  <c r="K90" i="168"/>
  <c r="I90" i="168"/>
  <c r="K89" i="168"/>
  <c r="I89" i="168"/>
  <c r="K88" i="168"/>
  <c r="I88" i="168"/>
  <c r="K87" i="168"/>
  <c r="I87" i="168"/>
  <c r="K86" i="168"/>
  <c r="I86" i="168"/>
  <c r="K85" i="168"/>
  <c r="I85" i="168"/>
  <c r="K84" i="168"/>
  <c r="I84" i="168"/>
  <c r="K83" i="168"/>
  <c r="I83" i="168"/>
  <c r="K82" i="168"/>
  <c r="I82" i="168"/>
  <c r="K81" i="168"/>
  <c r="I81" i="168"/>
  <c r="K80" i="168"/>
  <c r="I80" i="168"/>
  <c r="K79" i="168"/>
  <c r="I79" i="168"/>
  <c r="K78" i="168"/>
  <c r="I78" i="168"/>
  <c r="K77" i="168"/>
  <c r="I77" i="168"/>
  <c r="K76" i="168"/>
  <c r="I76" i="168"/>
  <c r="K75" i="168"/>
  <c r="I75" i="168"/>
  <c r="K74" i="168"/>
  <c r="I74" i="168"/>
  <c r="K73" i="168"/>
  <c r="I73" i="168"/>
  <c r="P71" i="168"/>
  <c r="O71" i="168"/>
  <c r="K71" i="168"/>
  <c r="G71" i="168"/>
  <c r="P70" i="168"/>
  <c r="O70" i="168"/>
  <c r="N70" i="168"/>
  <c r="K70" i="168"/>
  <c r="G70" i="168"/>
  <c r="P69" i="168"/>
  <c r="O69" i="168"/>
  <c r="N69" i="168"/>
  <c r="K69" i="168"/>
  <c r="G69" i="168"/>
  <c r="N67" i="168"/>
  <c r="F66" i="168" a="1"/>
  <c r="F66" i="168" s="1"/>
  <c r="P65" i="168"/>
  <c r="K65" i="168"/>
  <c r="E65" i="168"/>
  <c r="O64" i="168"/>
  <c r="M64" i="168"/>
  <c r="L64" i="168"/>
  <c r="L65" i="168" s="1"/>
  <c r="K64" i="168"/>
  <c r="J64" i="168"/>
  <c r="H64" i="168"/>
  <c r="P57" i="168"/>
  <c r="O56" i="168"/>
  <c r="N56" i="168"/>
  <c r="L56" i="168"/>
  <c r="K56" i="168"/>
  <c r="H56" i="168"/>
  <c r="F56" i="168"/>
  <c r="P56" i="168" s="1"/>
  <c r="E56" i="168"/>
  <c r="O55" i="168"/>
  <c r="N55" i="168"/>
  <c r="L55" i="168"/>
  <c r="K55" i="168"/>
  <c r="H55" i="168"/>
  <c r="F55" i="168"/>
  <c r="P55" i="168" s="1"/>
  <c r="E55" i="168"/>
  <c r="O54" i="168"/>
  <c r="N54" i="168"/>
  <c r="L54" i="168"/>
  <c r="K54" i="168"/>
  <c r="H54" i="168"/>
  <c r="F54" i="168"/>
  <c r="P54" i="168" s="1"/>
  <c r="E54" i="168"/>
  <c r="O53" i="168"/>
  <c r="N53" i="168"/>
  <c r="L53" i="168"/>
  <c r="K53" i="168"/>
  <c r="H53" i="168"/>
  <c r="F53" i="168"/>
  <c r="P53" i="168" s="1"/>
  <c r="E53" i="168"/>
  <c r="O52" i="168"/>
  <c r="N52" i="168"/>
  <c r="L52" i="168"/>
  <c r="K52" i="168"/>
  <c r="H52" i="168"/>
  <c r="F52" i="168"/>
  <c r="P52" i="168" s="1"/>
  <c r="E52" i="168"/>
  <c r="O51" i="168"/>
  <c r="N51" i="168"/>
  <c r="L51" i="168"/>
  <c r="K51" i="168"/>
  <c r="H51" i="168"/>
  <c r="F51" i="168"/>
  <c r="P51" i="168" s="1"/>
  <c r="E51" i="168"/>
  <c r="O50" i="168"/>
  <c r="N50" i="168"/>
  <c r="L50" i="168"/>
  <c r="K50" i="168"/>
  <c r="H50" i="168"/>
  <c r="F50" i="168"/>
  <c r="P50" i="168" s="1"/>
  <c r="E50" i="168"/>
  <c r="O49" i="168"/>
  <c r="N49" i="168"/>
  <c r="L49" i="168"/>
  <c r="K49" i="168"/>
  <c r="H49" i="168"/>
  <c r="F49" i="168"/>
  <c r="P49" i="168" s="1"/>
  <c r="E49" i="168"/>
  <c r="O48" i="168"/>
  <c r="N48" i="168"/>
  <c r="L48" i="168"/>
  <c r="K48" i="168"/>
  <c r="H48" i="168"/>
  <c r="F48" i="168"/>
  <c r="P48" i="168" s="1"/>
  <c r="E48" i="168"/>
  <c r="O47" i="168"/>
  <c r="N47" i="168"/>
  <c r="L47" i="168"/>
  <c r="K47" i="168"/>
  <c r="H47" i="168"/>
  <c r="F47" i="168"/>
  <c r="P47" i="168" s="1"/>
  <c r="E47" i="168"/>
  <c r="O46" i="168"/>
  <c r="N46" i="168"/>
  <c r="L46" i="168"/>
  <c r="K46" i="168"/>
  <c r="H46" i="168"/>
  <c r="F46" i="168"/>
  <c r="P46" i="168" s="1"/>
  <c r="E46" i="168"/>
  <c r="O45" i="168"/>
  <c r="N45" i="168"/>
  <c r="L45" i="168"/>
  <c r="K45" i="168"/>
  <c r="H45" i="168"/>
  <c r="F45" i="168"/>
  <c r="P45" i="168" s="1"/>
  <c r="E45" i="168"/>
  <c r="O44" i="168"/>
  <c r="N44" i="168"/>
  <c r="L44" i="168"/>
  <c r="K44" i="168"/>
  <c r="H44" i="168"/>
  <c r="F44" i="168"/>
  <c r="P44" i="168" s="1"/>
  <c r="E44" i="168"/>
  <c r="O43" i="168"/>
  <c r="N43" i="168"/>
  <c r="L43" i="168"/>
  <c r="K43" i="168"/>
  <c r="H43" i="168"/>
  <c r="F43" i="168"/>
  <c r="P43" i="168" s="1"/>
  <c r="E43" i="168"/>
  <c r="O42" i="168"/>
  <c r="N42" i="168"/>
  <c r="L42" i="168"/>
  <c r="K42" i="168"/>
  <c r="H42" i="168"/>
  <c r="F42" i="168"/>
  <c r="P42" i="168" s="1"/>
  <c r="E42" i="168"/>
  <c r="O41" i="168"/>
  <c r="N41" i="168"/>
  <c r="L41" i="168"/>
  <c r="K41" i="168"/>
  <c r="H41" i="168"/>
  <c r="F41" i="168"/>
  <c r="P41" i="168" s="1"/>
  <c r="E41" i="168"/>
  <c r="O40" i="168"/>
  <c r="N40" i="168"/>
  <c r="L40" i="168"/>
  <c r="K40" i="168"/>
  <c r="H40" i="168"/>
  <c r="F40" i="168"/>
  <c r="P40" i="168" s="1"/>
  <c r="E40" i="168"/>
  <c r="O39" i="168"/>
  <c r="N39" i="168"/>
  <c r="L39" i="168"/>
  <c r="K39" i="168"/>
  <c r="H39" i="168"/>
  <c r="F39" i="168"/>
  <c r="P39" i="168" s="1"/>
  <c r="E39" i="168"/>
  <c r="O38" i="168"/>
  <c r="N38" i="168"/>
  <c r="L38" i="168"/>
  <c r="K38" i="168"/>
  <c r="H38" i="168"/>
  <c r="F38" i="168"/>
  <c r="P38" i="168" s="1"/>
  <c r="E38" i="168"/>
  <c r="O37" i="168"/>
  <c r="N37" i="168"/>
  <c r="L37" i="168"/>
  <c r="K37" i="168"/>
  <c r="H37" i="168"/>
  <c r="F37" i="168"/>
  <c r="P37" i="168" s="1"/>
  <c r="E37" i="168"/>
  <c r="O36" i="168"/>
  <c r="N36" i="168"/>
  <c r="L36" i="168"/>
  <c r="K36" i="168"/>
  <c r="H36" i="168"/>
  <c r="O34" i="168"/>
  <c r="N34" i="168"/>
  <c r="K34" i="168"/>
  <c r="H34" i="168"/>
  <c r="F34" i="168"/>
  <c r="P34" i="168" s="1"/>
  <c r="E34" i="168"/>
  <c r="O33" i="168"/>
  <c r="N33" i="168"/>
  <c r="K33" i="168"/>
  <c r="H33" i="168"/>
  <c r="F33" i="168"/>
  <c r="P33" i="168" s="1"/>
  <c r="E33" i="168"/>
  <c r="O32" i="168"/>
  <c r="N32" i="168"/>
  <c r="K32" i="168"/>
  <c r="H32" i="168"/>
  <c r="F32" i="168"/>
  <c r="P32" i="168" s="1"/>
  <c r="E32" i="168"/>
  <c r="O31" i="168"/>
  <c r="N31" i="168"/>
  <c r="K31" i="168"/>
  <c r="H31" i="168"/>
  <c r="F31" i="168"/>
  <c r="P31" i="168" s="1"/>
  <c r="E31" i="168"/>
  <c r="O30" i="168"/>
  <c r="N30" i="168"/>
  <c r="K30" i="168"/>
  <c r="H30" i="168"/>
  <c r="F30" i="168"/>
  <c r="P30" i="168" s="1"/>
  <c r="E30" i="168"/>
  <c r="P28" i="168"/>
  <c r="J28" i="168"/>
  <c r="D28" i="168"/>
  <c r="L28" i="168" s="1"/>
  <c r="M28" i="168" s="1"/>
  <c r="C28" i="168"/>
  <c r="F28" i="168" s="1"/>
  <c r="A28" i="168"/>
  <c r="P27" i="168"/>
  <c r="J27" i="168"/>
  <c r="D27" i="168"/>
  <c r="L27" i="168" s="1"/>
  <c r="M27" i="168" s="1"/>
  <c r="C27" i="168"/>
  <c r="H27" i="168" s="1"/>
  <c r="I27" i="168" s="1"/>
  <c r="O27" i="168" s="1"/>
  <c r="A27" i="168"/>
  <c r="P26" i="168"/>
  <c r="J26" i="168"/>
  <c r="H26" i="168"/>
  <c r="I26" i="168" s="1"/>
  <c r="O26" i="168" s="1"/>
  <c r="F26" i="168"/>
  <c r="E26" i="168" a="1"/>
  <c r="E26" i="168" s="1"/>
  <c r="D26" i="168"/>
  <c r="L26" i="168" s="1"/>
  <c r="M26" i="168" s="1"/>
  <c r="C26" i="168"/>
  <c r="P25" i="168"/>
  <c r="J25" i="168"/>
  <c r="E25" i="168" a="1"/>
  <c r="E25" i="168" s="1"/>
  <c r="D25" i="168"/>
  <c r="L25" i="168" s="1"/>
  <c r="M25" i="168" s="1"/>
  <c r="C25" i="168"/>
  <c r="H25" i="168" s="1"/>
  <c r="I25" i="168" s="1"/>
  <c r="O25" i="168" s="1"/>
  <c r="P24" i="168"/>
  <c r="L24" i="168"/>
  <c r="M24" i="168" s="1"/>
  <c r="J24" i="168"/>
  <c r="I24" i="168"/>
  <c r="O24" i="168" s="1"/>
  <c r="H24" i="168"/>
  <c r="E24" i="168" a="1"/>
  <c r="E24" i="168" s="1"/>
  <c r="D24" i="168"/>
  <c r="C24" i="168"/>
  <c r="F24" i="168" s="1"/>
  <c r="P23" i="168"/>
  <c r="J23" i="168"/>
  <c r="E23" i="168" a="1"/>
  <c r="E23" i="168" s="1"/>
  <c r="D23" i="168"/>
  <c r="L23" i="168" s="1"/>
  <c r="M23" i="168" s="1"/>
  <c r="C23" i="168"/>
  <c r="H23" i="168" s="1"/>
  <c r="I23" i="168" s="1"/>
  <c r="O23" i="168" s="1"/>
  <c r="P22" i="168"/>
  <c r="J22" i="168"/>
  <c r="F22" i="168"/>
  <c r="E22" i="168" a="1"/>
  <c r="E22" i="168" s="1"/>
  <c r="D22" i="168"/>
  <c r="L22" i="168" s="1"/>
  <c r="M22" i="168" s="1"/>
  <c r="C22" i="168"/>
  <c r="H22" i="168" s="1"/>
  <c r="I22" i="168" s="1"/>
  <c r="O22" i="168" s="1"/>
  <c r="P21" i="168"/>
  <c r="J21" i="168"/>
  <c r="E21" i="168" a="1"/>
  <c r="E21" i="168" s="1"/>
  <c r="D21" i="168"/>
  <c r="L21" i="168" s="1"/>
  <c r="M21" i="168" s="1"/>
  <c r="C21" i="168"/>
  <c r="H21" i="168" s="1"/>
  <c r="I21" i="168" s="1"/>
  <c r="O21" i="168" s="1"/>
  <c r="J20" i="168"/>
  <c r="D20" i="168"/>
  <c r="L20" i="168" s="1"/>
  <c r="M20" i="168" s="1"/>
  <c r="C20" i="168"/>
  <c r="H20" i="168" s="1"/>
  <c r="I20" i="168" s="1"/>
  <c r="O20" i="168" s="1"/>
  <c r="J19" i="168"/>
  <c r="C19" i="168"/>
  <c r="H19" i="168" s="1"/>
  <c r="I19" i="168" s="1"/>
  <c r="O19" i="168" s="1"/>
  <c r="N17" i="168"/>
  <c r="E17" i="168"/>
  <c r="P17" i="168" s="1"/>
  <c r="P16" i="168"/>
  <c r="N16" i="168"/>
  <c r="E16" i="168"/>
  <c r="N15" i="168"/>
  <c r="J15" i="168"/>
  <c r="J16" i="168" s="1"/>
  <c r="E15" i="168"/>
  <c r="P15" i="168" s="1"/>
  <c r="J14" i="168"/>
  <c r="U6" i="168" s="1"/>
  <c r="S14" i="168"/>
  <c r="O13" i="168"/>
  <c r="J13" i="168"/>
  <c r="P11" i="168"/>
  <c r="J11" i="168"/>
  <c r="J10" i="168"/>
  <c r="E10" i="168"/>
  <c r="S10" i="168"/>
  <c r="O9" i="168"/>
  <c r="S9" i="168"/>
  <c r="J8" i="168"/>
  <c r="J9" i="168" s="1"/>
  <c r="L7" i="168"/>
  <c r="F7" i="168"/>
  <c r="X6" i="168"/>
  <c r="O92" i="168" s="1"/>
  <c r="V6" i="168"/>
  <c r="T6" i="168"/>
  <c r="R6" i="168"/>
  <c r="P5" i="168"/>
  <c r="P20" i="168" s="1"/>
  <c r="N5" i="168"/>
  <c r="M5" i="168"/>
  <c r="K5" i="168"/>
  <c r="J5" i="168"/>
  <c r="N4" i="168"/>
  <c r="M4" i="168"/>
  <c r="J4" i="168"/>
  <c r="F4" i="168"/>
  <c r="E4" i="168"/>
  <c r="E9" i="168" s="1"/>
  <c r="P9" i="168" s="1"/>
  <c r="O20" i="139"/>
  <c r="O21" i="139"/>
  <c r="O22" i="139"/>
  <c r="O23" i="139"/>
  <c r="O24" i="139"/>
  <c r="O25" i="139"/>
  <c r="O26" i="139"/>
  <c r="O27" i="139"/>
  <c r="O28" i="139"/>
  <c r="O49" i="67"/>
  <c r="X6" i="67"/>
  <c r="X6" i="139"/>
  <c r="F20" i="168" l="1"/>
  <c r="W6" i="185"/>
  <c r="S7" i="185"/>
  <c r="P13" i="168"/>
  <c r="E64" i="168"/>
  <c r="P64" i="168"/>
  <c r="P67" i="168" s="1"/>
  <c r="H28" i="168"/>
  <c r="I28" i="168" s="1"/>
  <c r="O28" i="168" s="1"/>
  <c r="E7" i="168" a="1"/>
  <c r="E7" i="168" s="1"/>
  <c r="P7" i="168" s="1" a="1"/>
  <c r="P7" i="168" s="1"/>
  <c r="L66" i="168"/>
  <c r="L67" i="168" s="1"/>
  <c r="I64" i="168"/>
  <c r="J67" i="168"/>
  <c r="H66" i="168"/>
  <c r="K14" i="168"/>
  <c r="S11" i="168"/>
  <c r="M11" i="168"/>
  <c r="S6" i="168" s="1"/>
  <c r="F27" i="168"/>
  <c r="N7" i="168"/>
  <c r="S12" i="168" s="1"/>
  <c r="E19" i="168" a="1"/>
  <c r="E19" i="168" s="1"/>
  <c r="A7" i="168"/>
  <c r="F19" i="168"/>
  <c r="F21" i="168"/>
  <c r="F23" i="168"/>
  <c r="F25" i="168"/>
  <c r="J7" i="168"/>
  <c r="E36" i="168"/>
  <c r="F36" i="168"/>
  <c r="P36" i="168" s="1"/>
  <c r="P19" i="168"/>
  <c r="P14" i="168"/>
  <c r="P10" i="168"/>
  <c r="E5" i="168"/>
  <c r="P8" i="168"/>
  <c r="E20" i="168" a="1"/>
  <c r="E20" i="168" s="1"/>
  <c r="O92" i="139"/>
  <c r="K90" i="139"/>
  <c r="I90" i="139"/>
  <c r="K89" i="139"/>
  <c r="I89" i="139"/>
  <c r="K88" i="139"/>
  <c r="I88" i="139"/>
  <c r="K87" i="139"/>
  <c r="I87" i="139"/>
  <c r="K86" i="139"/>
  <c r="I86" i="139"/>
  <c r="K85" i="139"/>
  <c r="I85" i="139"/>
  <c r="K84" i="139"/>
  <c r="I84" i="139"/>
  <c r="K83" i="139"/>
  <c r="I83" i="139"/>
  <c r="K82" i="139"/>
  <c r="I82" i="139"/>
  <c r="K81" i="139"/>
  <c r="I81" i="139"/>
  <c r="K80" i="139"/>
  <c r="I80" i="139"/>
  <c r="K79" i="139"/>
  <c r="I79" i="139"/>
  <c r="K78" i="139"/>
  <c r="I78" i="139"/>
  <c r="K77" i="139"/>
  <c r="I77" i="139"/>
  <c r="K76" i="139"/>
  <c r="I76" i="139"/>
  <c r="K75" i="139"/>
  <c r="I75" i="139"/>
  <c r="K74" i="139"/>
  <c r="I74" i="139"/>
  <c r="K73" i="139"/>
  <c r="I73" i="139"/>
  <c r="P71" i="139"/>
  <c r="O71" i="139"/>
  <c r="K71" i="139"/>
  <c r="G71" i="139"/>
  <c r="P70" i="139"/>
  <c r="O70" i="139"/>
  <c r="N70" i="139"/>
  <c r="K70" i="139"/>
  <c r="G70" i="139"/>
  <c r="P69" i="139"/>
  <c r="O69" i="139"/>
  <c r="N69" i="139"/>
  <c r="K69" i="139"/>
  <c r="G69" i="139"/>
  <c r="N67" i="139"/>
  <c r="F66" i="139" a="1"/>
  <c r="F66" i="139" s="1"/>
  <c r="P65" i="139"/>
  <c r="K65" i="139"/>
  <c r="E65" i="139"/>
  <c r="O64" i="139"/>
  <c r="M64" i="139"/>
  <c r="L64" i="139"/>
  <c r="K64" i="139"/>
  <c r="J64" i="139"/>
  <c r="H64" i="139"/>
  <c r="E57" i="139"/>
  <c r="P57" i="139" s="1"/>
  <c r="O56" i="139"/>
  <c r="N56" i="139"/>
  <c r="L56" i="139"/>
  <c r="K56" i="139"/>
  <c r="H56" i="139"/>
  <c r="F56" i="139"/>
  <c r="P56" i="139" s="1"/>
  <c r="E56" i="139"/>
  <c r="O55" i="139"/>
  <c r="N55" i="139"/>
  <c r="L55" i="139"/>
  <c r="K55" i="139"/>
  <c r="H55" i="139"/>
  <c r="F55" i="139"/>
  <c r="P55" i="139" s="1"/>
  <c r="E55" i="139"/>
  <c r="O54" i="139"/>
  <c r="N54" i="139"/>
  <c r="L54" i="139"/>
  <c r="K54" i="139"/>
  <c r="H54" i="139"/>
  <c r="F54" i="139"/>
  <c r="P54" i="139" s="1"/>
  <c r="E54" i="139"/>
  <c r="O53" i="139"/>
  <c r="N53" i="139"/>
  <c r="L53" i="139"/>
  <c r="K53" i="139"/>
  <c r="H53" i="139"/>
  <c r="F53" i="139"/>
  <c r="P53" i="139" s="1"/>
  <c r="E53" i="139"/>
  <c r="O52" i="139"/>
  <c r="N52" i="139"/>
  <c r="L52" i="139"/>
  <c r="K52" i="139"/>
  <c r="H52" i="139"/>
  <c r="F52" i="139"/>
  <c r="P52" i="139" s="1"/>
  <c r="E52" i="139"/>
  <c r="O51" i="139"/>
  <c r="N51" i="139"/>
  <c r="L51" i="139"/>
  <c r="K51" i="139"/>
  <c r="H51" i="139"/>
  <c r="F51" i="139"/>
  <c r="P51" i="139" s="1"/>
  <c r="E51" i="139"/>
  <c r="O50" i="139"/>
  <c r="N50" i="139"/>
  <c r="L50" i="139"/>
  <c r="K50" i="139"/>
  <c r="H50" i="139"/>
  <c r="F50" i="139"/>
  <c r="P50" i="139" s="1"/>
  <c r="E50" i="139"/>
  <c r="O49" i="139"/>
  <c r="N49" i="139"/>
  <c r="L49" i="139"/>
  <c r="K49" i="139"/>
  <c r="H49" i="139"/>
  <c r="F49" i="139"/>
  <c r="P49" i="139" s="1"/>
  <c r="E49" i="139"/>
  <c r="O48" i="139"/>
  <c r="N48" i="139"/>
  <c r="L48" i="139"/>
  <c r="K48" i="139"/>
  <c r="H48" i="139"/>
  <c r="F48" i="139"/>
  <c r="P48" i="139" s="1"/>
  <c r="E48" i="139"/>
  <c r="O47" i="139"/>
  <c r="N47" i="139"/>
  <c r="L47" i="139"/>
  <c r="K47" i="139"/>
  <c r="H47" i="139"/>
  <c r="F47" i="139"/>
  <c r="P47" i="139" s="1"/>
  <c r="E47" i="139"/>
  <c r="O46" i="139"/>
  <c r="N46" i="139"/>
  <c r="L46" i="139"/>
  <c r="K46" i="139"/>
  <c r="H46" i="139"/>
  <c r="F46" i="139"/>
  <c r="P46" i="139" s="1"/>
  <c r="E46" i="139"/>
  <c r="O45" i="139"/>
  <c r="N45" i="139"/>
  <c r="L45" i="139"/>
  <c r="K45" i="139"/>
  <c r="H45" i="139"/>
  <c r="F45" i="139"/>
  <c r="P45" i="139" s="1"/>
  <c r="E45" i="139"/>
  <c r="O44" i="139"/>
  <c r="N44" i="139"/>
  <c r="L44" i="139"/>
  <c r="K44" i="139"/>
  <c r="H44" i="139"/>
  <c r="F44" i="139"/>
  <c r="P44" i="139" s="1"/>
  <c r="E44" i="139"/>
  <c r="O43" i="139"/>
  <c r="N43" i="139"/>
  <c r="L43" i="139"/>
  <c r="K43" i="139"/>
  <c r="H43" i="139"/>
  <c r="F43" i="139"/>
  <c r="P43" i="139" s="1"/>
  <c r="E43" i="139"/>
  <c r="O42" i="139"/>
  <c r="N42" i="139"/>
  <c r="L42" i="139"/>
  <c r="K42" i="139"/>
  <c r="H42" i="139"/>
  <c r="F42" i="139"/>
  <c r="P42" i="139" s="1"/>
  <c r="E42" i="139"/>
  <c r="O41" i="139"/>
  <c r="N41" i="139"/>
  <c r="L41" i="139"/>
  <c r="K41" i="139"/>
  <c r="H41" i="139"/>
  <c r="F41" i="139"/>
  <c r="P41" i="139" s="1"/>
  <c r="E41" i="139"/>
  <c r="O40" i="139"/>
  <c r="N40" i="139"/>
  <c r="L40" i="139"/>
  <c r="K40" i="139"/>
  <c r="H40" i="139"/>
  <c r="F40" i="139"/>
  <c r="P40" i="139" s="1"/>
  <c r="E40" i="139"/>
  <c r="O39" i="139"/>
  <c r="N39" i="139"/>
  <c r="L39" i="139"/>
  <c r="K39" i="139"/>
  <c r="H39" i="139"/>
  <c r="F39" i="139"/>
  <c r="P39" i="139" s="1"/>
  <c r="E39" i="139"/>
  <c r="O38" i="139"/>
  <c r="N38" i="139"/>
  <c r="L38" i="139"/>
  <c r="K38" i="139"/>
  <c r="H38" i="139"/>
  <c r="F38" i="139"/>
  <c r="P38" i="139" s="1"/>
  <c r="E38" i="139"/>
  <c r="O37" i="139"/>
  <c r="N37" i="139"/>
  <c r="L37" i="139"/>
  <c r="K37" i="139"/>
  <c r="H37" i="139"/>
  <c r="F37" i="139"/>
  <c r="P37" i="139" s="1"/>
  <c r="E37" i="139"/>
  <c r="O36" i="139"/>
  <c r="N36" i="139"/>
  <c r="L36" i="139"/>
  <c r="K36" i="139"/>
  <c r="H36" i="139"/>
  <c r="F36" i="139"/>
  <c r="P36" i="139" s="1"/>
  <c r="E36" i="139"/>
  <c r="O34" i="139"/>
  <c r="N34" i="139"/>
  <c r="K34" i="139"/>
  <c r="H34" i="139"/>
  <c r="F34" i="139"/>
  <c r="P34" i="139" s="1"/>
  <c r="E34" i="139"/>
  <c r="O33" i="139"/>
  <c r="N33" i="139"/>
  <c r="K33" i="139"/>
  <c r="H33" i="139"/>
  <c r="F33" i="139"/>
  <c r="P33" i="139" s="1"/>
  <c r="E33" i="139"/>
  <c r="O32" i="139"/>
  <c r="N32" i="139"/>
  <c r="K32" i="139"/>
  <c r="H32" i="139"/>
  <c r="F32" i="139"/>
  <c r="P32" i="139" s="1"/>
  <c r="E32" i="139"/>
  <c r="O31" i="139"/>
  <c r="N31" i="139"/>
  <c r="K31" i="139"/>
  <c r="H31" i="139"/>
  <c r="F31" i="139"/>
  <c r="P31" i="139" s="1"/>
  <c r="E31" i="139"/>
  <c r="O30" i="139"/>
  <c r="N30" i="139"/>
  <c r="K30" i="139"/>
  <c r="H30" i="139"/>
  <c r="F30" i="139"/>
  <c r="P30" i="139" s="1"/>
  <c r="E30" i="139"/>
  <c r="P28" i="139"/>
  <c r="J28" i="139"/>
  <c r="D28" i="139"/>
  <c r="L28" i="139" s="1"/>
  <c r="C28" i="139"/>
  <c r="H28" i="139" s="1"/>
  <c r="I28" i="139" s="1"/>
  <c r="A28" i="139"/>
  <c r="P27" i="139"/>
  <c r="J27" i="139"/>
  <c r="D27" i="139"/>
  <c r="L27" i="139" s="1"/>
  <c r="C27" i="139"/>
  <c r="H27" i="139" s="1"/>
  <c r="I27" i="139" s="1"/>
  <c r="A27" i="139"/>
  <c r="P26" i="139"/>
  <c r="L26" i="139"/>
  <c r="J26" i="139"/>
  <c r="E26" i="139" a="1"/>
  <c r="E26" i="139" s="1"/>
  <c r="D26" i="139"/>
  <c r="C26" i="139"/>
  <c r="H26" i="139" s="1"/>
  <c r="I26" i="139" s="1"/>
  <c r="P25" i="139"/>
  <c r="J25" i="139"/>
  <c r="H25" i="139"/>
  <c r="I25" i="139" s="1"/>
  <c r="E25" i="139" a="1"/>
  <c r="E25" i="139" s="1"/>
  <c r="D25" i="139"/>
  <c r="L25" i="139" s="1"/>
  <c r="C25" i="139"/>
  <c r="F25" i="139" s="1"/>
  <c r="P24" i="139"/>
  <c r="J24" i="139"/>
  <c r="E24" i="139" a="1"/>
  <c r="E24" i="139" s="1"/>
  <c r="D24" i="139"/>
  <c r="L24" i="139" s="1"/>
  <c r="C24" i="139"/>
  <c r="H24" i="139" s="1"/>
  <c r="I24" i="139" s="1"/>
  <c r="P23" i="139"/>
  <c r="J23" i="139"/>
  <c r="E23" i="139" a="1"/>
  <c r="E23" i="139" s="1"/>
  <c r="D23" i="139"/>
  <c r="L23" i="139" s="1"/>
  <c r="C23" i="139"/>
  <c r="F23" i="139" s="1"/>
  <c r="P22" i="139"/>
  <c r="L22" i="139"/>
  <c r="J22" i="139"/>
  <c r="E22" i="139" a="1"/>
  <c r="E22" i="139" s="1"/>
  <c r="D22" i="139"/>
  <c r="C22" i="139"/>
  <c r="H22" i="139" s="1"/>
  <c r="I22" i="139" s="1"/>
  <c r="P21" i="139"/>
  <c r="J21" i="139"/>
  <c r="H21" i="139"/>
  <c r="I21" i="139" s="1"/>
  <c r="E21" i="139" a="1"/>
  <c r="E21" i="139" s="1"/>
  <c r="D21" i="139"/>
  <c r="L21" i="139" s="1"/>
  <c r="C21" i="139"/>
  <c r="F21" i="139" s="1"/>
  <c r="J20" i="139"/>
  <c r="D20" i="139"/>
  <c r="L20" i="139" s="1"/>
  <c r="C20" i="139"/>
  <c r="H20" i="139" s="1"/>
  <c r="I20" i="139" s="1"/>
  <c r="J19" i="139"/>
  <c r="E19" i="139" a="1"/>
  <c r="E19" i="139" s="1"/>
  <c r="D19" i="139"/>
  <c r="L19" i="139" s="1"/>
  <c r="C19" i="139"/>
  <c r="F19" i="139" s="1"/>
  <c r="N17" i="139"/>
  <c r="E17" i="139"/>
  <c r="P17" i="139" s="1"/>
  <c r="P16" i="139"/>
  <c r="N16" i="139"/>
  <c r="E16" i="139"/>
  <c r="N15" i="139"/>
  <c r="J15" i="139"/>
  <c r="J16" i="139" s="1"/>
  <c r="E15" i="139"/>
  <c r="P15" i="139" s="1"/>
  <c r="S13" i="139"/>
  <c r="O13" i="139"/>
  <c r="P11" i="139"/>
  <c r="J11" i="139"/>
  <c r="J10" i="139"/>
  <c r="E10" i="139"/>
  <c r="O9" i="139"/>
  <c r="S8" i="139"/>
  <c r="J8" i="139"/>
  <c r="J9" i="139" s="1"/>
  <c r="L7" i="139"/>
  <c r="F7" i="139"/>
  <c r="V6" i="139"/>
  <c r="T6" i="139"/>
  <c r="R6" i="139"/>
  <c r="P5" i="139"/>
  <c r="P10" i="139" s="1"/>
  <c r="N5" i="139"/>
  <c r="M5" i="139"/>
  <c r="K5" i="139"/>
  <c r="J5" i="139"/>
  <c r="J13" i="139" s="1"/>
  <c r="J14" i="139" s="1"/>
  <c r="U6" i="139" s="1"/>
  <c r="E5" i="139"/>
  <c r="N4" i="139"/>
  <c r="M4" i="139"/>
  <c r="J4" i="139"/>
  <c r="F4" i="139"/>
  <c r="E4" i="139"/>
  <c r="E9" i="139" s="1"/>
  <c r="P9" i="139" s="1"/>
  <c r="E64" i="139" l="1"/>
  <c r="H19" i="139"/>
  <c r="I19" i="139" s="1"/>
  <c r="O19" i="139" s="1"/>
  <c r="P13" i="139"/>
  <c r="I66" i="168"/>
  <c r="S13" i="168"/>
  <c r="P66" i="168" a="1"/>
  <c r="P66" i="168" s="1"/>
  <c r="P91" i="168" s="1"/>
  <c r="W6" i="168" s="1"/>
  <c r="E2" i="168"/>
  <c r="H23" i="139"/>
  <c r="I23" i="139" s="1"/>
  <c r="F28" i="139"/>
  <c r="L65" i="139"/>
  <c r="L66" i="139" s="1"/>
  <c r="L67" i="139" s="1"/>
  <c r="M11" i="139"/>
  <c r="S6" i="139" s="1"/>
  <c r="J7" i="139"/>
  <c r="I64" i="139"/>
  <c r="P64" i="139"/>
  <c r="P67" i="139" s="1"/>
  <c r="H66" i="139"/>
  <c r="J67" i="139"/>
  <c r="S9" i="139"/>
  <c r="S7" i="139"/>
  <c r="P20" i="139"/>
  <c r="P14" i="139"/>
  <c r="P8" i="139"/>
  <c r="P19" i="139"/>
  <c r="K14" i="139"/>
  <c r="S10" i="139"/>
  <c r="A7" i="139"/>
  <c r="F27" i="139"/>
  <c r="E7" i="139" a="1"/>
  <c r="E7" i="139" s="1"/>
  <c r="N7" i="139"/>
  <c r="S11" i="139" s="1"/>
  <c r="E20" i="139" a="1"/>
  <c r="E20" i="139" s="1"/>
  <c r="F20" i="139"/>
  <c r="F22" i="139"/>
  <c r="F24" i="139"/>
  <c r="F26" i="139"/>
  <c r="R6" i="67"/>
  <c r="S6" i="67"/>
  <c r="T6" i="67"/>
  <c r="V6" i="67"/>
  <c r="S13" i="67"/>
  <c r="O76" i="168" l="1"/>
  <c r="O75" i="168"/>
  <c r="Z6" i="168"/>
  <c r="P2" i="168" s="1"/>
  <c r="P92" i="168" s="1"/>
  <c r="I66" i="139"/>
  <c r="S12" i="139"/>
  <c r="P66" i="139" a="1"/>
  <c r="P66" i="139" s="1"/>
  <c r="E2" i="139"/>
  <c r="P7" i="139" a="1"/>
  <c r="P7" i="139" s="1"/>
  <c r="D15" i="3"/>
  <c r="C16" i="3"/>
  <c r="D16" i="3" s="1"/>
  <c r="P91" i="139" l="1"/>
  <c r="Z6" i="139" s="1"/>
  <c r="P2" i="139" s="1"/>
  <c r="P92" i="139" s="1"/>
  <c r="C17" i="3"/>
  <c r="O8" i="67"/>
  <c r="C3" i="71"/>
  <c r="E2" i="71"/>
  <c r="E3" i="71"/>
  <c r="J2" i="71"/>
  <c r="A2" i="71"/>
  <c r="K2" i="71"/>
  <c r="D3" i="71"/>
  <c r="G2" i="71"/>
  <c r="I2" i="71"/>
  <c r="K3" i="71"/>
  <c r="L2" i="71"/>
  <c r="C2" i="71"/>
  <c r="L3" i="71"/>
  <c r="J3" i="71"/>
  <c r="G3" i="71"/>
  <c r="I3" i="71"/>
  <c r="N3" i="71"/>
  <c r="A3" i="71"/>
  <c r="W6" i="139" l="1"/>
  <c r="D17" i="3"/>
  <c r="C18" i="3"/>
  <c r="C19" i="3" l="1"/>
  <c r="D18" i="3"/>
  <c r="C20" i="3" l="1"/>
  <c r="D19" i="3"/>
  <c r="C21" i="3" l="1"/>
  <c r="D20" i="3"/>
  <c r="C22" i="3" l="1"/>
  <c r="D21" i="3"/>
  <c r="C23" i="3" l="1"/>
  <c r="D22" i="3"/>
  <c r="C24" i="3" l="1"/>
  <c r="D23" i="3"/>
  <c r="C25" i="3" l="1"/>
  <c r="D24" i="3"/>
  <c r="J8" i="67"/>
  <c r="S10" i="67" s="1"/>
  <c r="N2" i="71"/>
  <c r="C26" i="3" l="1"/>
  <c r="D25" i="3"/>
  <c r="C27" i="3" l="1"/>
  <c r="D26" i="3"/>
  <c r="C28" i="3" l="1"/>
  <c r="D27" i="3"/>
  <c r="C29" i="3" l="1"/>
  <c r="D28" i="3"/>
  <c r="C30" i="3" l="1"/>
  <c r="D30" i="3" s="1"/>
  <c r="D29" i="3"/>
  <c r="O33" i="67" l="1"/>
  <c r="M33" i="67"/>
  <c r="F30" i="67"/>
  <c r="P30" i="67" s="1"/>
  <c r="F29" i="67"/>
  <c r="P29" i="67" s="1"/>
  <c r="F28" i="67"/>
  <c r="P28" i="67" s="1"/>
  <c r="F27" i="67"/>
  <c r="P27" i="67" s="1"/>
  <c r="F26" i="67"/>
  <c r="P26" i="67" s="1"/>
  <c r="F25" i="67"/>
  <c r="P25" i="67" s="1"/>
  <c r="F24" i="67"/>
  <c r="P24" i="67" s="1"/>
  <c r="F23" i="67"/>
  <c r="P23" i="67" s="1"/>
  <c r="F22" i="67"/>
  <c r="P22" i="67" s="1"/>
  <c r="F21" i="67"/>
  <c r="P21" i="67" s="1"/>
  <c r="F20" i="67"/>
  <c r="P20" i="67" s="1"/>
  <c r="F19" i="67"/>
  <c r="P19" i="67" s="1"/>
  <c r="F18" i="67"/>
  <c r="P18" i="67" s="1"/>
  <c r="F17" i="67"/>
  <c r="P17" i="67" s="1"/>
  <c r="F16" i="67"/>
  <c r="P16" i="67" s="1"/>
  <c r="F15" i="67"/>
  <c r="P15" i="67" s="1"/>
  <c r="F14" i="67"/>
  <c r="P14" i="67" s="1"/>
  <c r="L33" i="67"/>
  <c r="J33" i="67"/>
  <c r="H33" i="67"/>
  <c r="I33" i="67" s="1"/>
  <c r="K33" i="67"/>
  <c r="O30" i="67"/>
  <c r="N30" i="67"/>
  <c r="K30" i="67"/>
  <c r="H30" i="67"/>
  <c r="E30" i="67"/>
  <c r="O29" i="67"/>
  <c r="N29" i="67"/>
  <c r="K29" i="67"/>
  <c r="H29" i="67"/>
  <c r="E29" i="67"/>
  <c r="O28" i="67"/>
  <c r="N28" i="67"/>
  <c r="K28" i="67"/>
  <c r="H28" i="67"/>
  <c r="E28" i="67"/>
  <c r="O27" i="67"/>
  <c r="N27" i="67"/>
  <c r="K27" i="67"/>
  <c r="H27" i="67"/>
  <c r="E27" i="67"/>
  <c r="O26" i="67"/>
  <c r="N26" i="67"/>
  <c r="K26" i="67"/>
  <c r="H26" i="67"/>
  <c r="E26" i="67"/>
  <c r="O25" i="67"/>
  <c r="N25" i="67"/>
  <c r="K25" i="67"/>
  <c r="H25" i="67"/>
  <c r="E25" i="67"/>
  <c r="O24" i="67"/>
  <c r="N24" i="67"/>
  <c r="K24" i="67"/>
  <c r="H24" i="67"/>
  <c r="E24" i="67"/>
  <c r="O23" i="67"/>
  <c r="N23" i="67"/>
  <c r="K23" i="67"/>
  <c r="H23" i="67"/>
  <c r="E23" i="67"/>
  <c r="O22" i="67"/>
  <c r="N22" i="67"/>
  <c r="K22" i="67"/>
  <c r="H22" i="67"/>
  <c r="E22" i="67"/>
  <c r="O21" i="67"/>
  <c r="N21" i="67"/>
  <c r="K21" i="67"/>
  <c r="H21" i="67"/>
  <c r="E21" i="67"/>
  <c r="O20" i="67"/>
  <c r="N20" i="67"/>
  <c r="K20" i="67"/>
  <c r="H20" i="67"/>
  <c r="E20" i="67"/>
  <c r="O19" i="67"/>
  <c r="N19" i="67"/>
  <c r="K19" i="67"/>
  <c r="H19" i="67"/>
  <c r="E19" i="67"/>
  <c r="O18" i="67"/>
  <c r="N18" i="67"/>
  <c r="K18" i="67"/>
  <c r="H18" i="67"/>
  <c r="E18" i="67"/>
  <c r="O17" i="67"/>
  <c r="N17" i="67"/>
  <c r="K17" i="67"/>
  <c r="H17" i="67"/>
  <c r="E17" i="67"/>
  <c r="P5" i="67"/>
  <c r="K47" i="67"/>
  <c r="I47" i="67"/>
  <c r="K46" i="67"/>
  <c r="I46" i="67"/>
  <c r="K45" i="67"/>
  <c r="I45" i="67"/>
  <c r="K44" i="67"/>
  <c r="I44" i="67"/>
  <c r="K43" i="67"/>
  <c r="I43" i="67"/>
  <c r="K42" i="67"/>
  <c r="I42" i="67"/>
  <c r="K41" i="67"/>
  <c r="I41" i="67"/>
  <c r="P39" i="67"/>
  <c r="O39" i="67"/>
  <c r="K39" i="67"/>
  <c r="G39" i="67"/>
  <c r="P38" i="67"/>
  <c r="O38" i="67"/>
  <c r="N38" i="67"/>
  <c r="K38" i="67"/>
  <c r="G38" i="67"/>
  <c r="P37" i="67"/>
  <c r="O37" i="67"/>
  <c r="N37" i="67"/>
  <c r="K37" i="67"/>
  <c r="G37" i="67"/>
  <c r="N35" i="67"/>
  <c r="F34" i="67" a="1"/>
  <c r="F34" i="67" s="1"/>
  <c r="O16" i="67"/>
  <c r="N16" i="67"/>
  <c r="K16" i="67"/>
  <c r="H16" i="67"/>
  <c r="E16" i="67"/>
  <c r="O15" i="67"/>
  <c r="N15" i="67"/>
  <c r="K15" i="67"/>
  <c r="H15" i="67"/>
  <c r="E15" i="67"/>
  <c r="O14" i="67"/>
  <c r="N14" i="67"/>
  <c r="K14" i="67"/>
  <c r="H14" i="67"/>
  <c r="E14" i="67"/>
  <c r="P11" i="67"/>
  <c r="O11" i="67"/>
  <c r="P9" i="67"/>
  <c r="J9" i="67"/>
  <c r="K12" i="67"/>
  <c r="F7" i="67"/>
  <c r="N5" i="67"/>
  <c r="M5" i="67"/>
  <c r="K5" i="67"/>
  <c r="J5" i="67"/>
  <c r="F4" i="67"/>
  <c r="M3" i="71"/>
  <c r="S11" i="67" l="1"/>
  <c r="P12" i="67"/>
  <c r="S7" i="67"/>
  <c r="P33" i="67"/>
  <c r="P35" i="67" s="1"/>
  <c r="L34" i="67"/>
  <c r="J11" i="67"/>
  <c r="J12" i="67"/>
  <c r="U6" i="67" s="1"/>
  <c r="J35" i="67"/>
  <c r="H34" i="67"/>
  <c r="S12" i="67" s="1"/>
  <c r="E7" i="67" a="1"/>
  <c r="E7" i="67" s="1"/>
  <c r="P7" i="67" s="1" a="1"/>
  <c r="P7" i="67" s="1"/>
  <c r="E5" i="67"/>
  <c r="P8" i="67"/>
  <c r="L35" i="67"/>
  <c r="F3" i="71"/>
  <c r="P48" i="67" l="1"/>
  <c r="P34" i="67" a="1"/>
  <c r="P34" i="67" s="1"/>
  <c r="E2" i="67"/>
  <c r="I34" i="67"/>
  <c r="W6" i="67" l="1"/>
  <c r="Z6" i="67"/>
  <c r="P2" i="67" s="1"/>
  <c r="P49" i="67" s="1"/>
  <c r="M2" i="71"/>
  <c r="F2" i="71"/>
  <c r="H2" i="71"/>
  <c r="D2" i="71"/>
  <c r="H3" i="71"/>
  <c r="O74" i="244" l="1"/>
  <c r="O74" i="243"/>
  <c r="O76" i="244"/>
  <c r="O76" i="243"/>
  <c r="O74" i="249"/>
  <c r="O74" i="250"/>
  <c r="O74" i="168"/>
  <c r="O74" i="191"/>
  <c r="O77" i="244"/>
  <c r="O77" i="243"/>
  <c r="O75" i="244"/>
  <c r="O75" i="243"/>
  <c r="O75" i="233"/>
  <c r="S7" i="233" s="1"/>
  <c r="O75" i="236"/>
  <c r="S7" i="236" s="1"/>
  <c r="O75" i="235"/>
  <c r="S7" i="235" s="1"/>
  <c r="O75" i="231"/>
  <c r="O73" i="250"/>
  <c r="O73" i="249"/>
  <c r="O73" i="244"/>
  <c r="O73" i="243"/>
  <c r="O73" i="168"/>
  <c r="O73" i="191"/>
  <c r="O76" i="231"/>
  <c r="S7" i="168" l="1"/>
  <c r="S7" i="231"/>
  <c r="S7" i="243"/>
  <c r="S7" i="191"/>
  <c r="S7" i="244"/>
  <c r="S7" i="249"/>
  <c r="S7" i="25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<sst xmlns="http://schemas.openxmlformats.org/spreadsheetml/2006/main" count="7890" uniqueCount="844">
  <si>
    <t>Basic</t>
  </si>
  <si>
    <t>Improved</t>
  </si>
  <si>
    <t>Enhanced</t>
  </si>
  <si>
    <t>Advanced</t>
  </si>
  <si>
    <t>TL</t>
  </si>
  <si>
    <t>Cost</t>
  </si>
  <si>
    <t>Level</t>
  </si>
  <si>
    <t>Name</t>
  </si>
  <si>
    <t>Category</t>
  </si>
  <si>
    <t>Sensor</t>
  </si>
  <si>
    <t>Slots</t>
  </si>
  <si>
    <t>Environment Processor</t>
  </si>
  <si>
    <t>PRIS Sensor</t>
  </si>
  <si>
    <t>-</t>
  </si>
  <si>
    <t>Primitive</t>
  </si>
  <si>
    <t>Cr</t>
  </si>
  <si>
    <t>Size Table</t>
  </si>
  <si>
    <t>Size</t>
  </si>
  <si>
    <t>Basic Cost</t>
  </si>
  <si>
    <t>Base hits</t>
  </si>
  <si>
    <t>Hit DM</t>
  </si>
  <si>
    <t>Base Slots</t>
  </si>
  <si>
    <t>Locomotion Table</t>
  </si>
  <si>
    <t>Locomotion</t>
  </si>
  <si>
    <t>Agility</t>
  </si>
  <si>
    <t>Traits</t>
  </si>
  <si>
    <t>None</t>
  </si>
  <si>
    <t>Wheels</t>
  </si>
  <si>
    <t>Tracks</t>
  </si>
  <si>
    <t>Grav</t>
  </si>
  <si>
    <t>Aquatic</t>
  </si>
  <si>
    <t>VTOL</t>
  </si>
  <si>
    <t>Walker</t>
  </si>
  <si>
    <t>Hovercraft</t>
  </si>
  <si>
    <t>Cost X</t>
  </si>
  <si>
    <t>Endurance</t>
  </si>
  <si>
    <t>Robot Design Worksheet</t>
  </si>
  <si>
    <t>Robot Name</t>
  </si>
  <si>
    <t>Locomotion Type</t>
  </si>
  <si>
    <t>Visual Spectrum Sensor</t>
  </si>
  <si>
    <t>Communications</t>
  </si>
  <si>
    <t>Voder Speaker</t>
  </si>
  <si>
    <t>Wireless Data Link</t>
  </si>
  <si>
    <t>Default Suite</t>
  </si>
  <si>
    <t>znull</t>
  </si>
  <si>
    <t>0null</t>
  </si>
  <si>
    <t>STR</t>
  </si>
  <si>
    <t>DEX</t>
  </si>
  <si>
    <t>INT</t>
  </si>
  <si>
    <t>Manipulators</t>
  </si>
  <si>
    <t>Base One</t>
  </si>
  <si>
    <t>Base Two</t>
  </si>
  <si>
    <t>Additional One</t>
  </si>
  <si>
    <t>Additional Two</t>
  </si>
  <si>
    <t>Additional Three</t>
  </si>
  <si>
    <t>Additional Four</t>
  </si>
  <si>
    <t>Additional Five</t>
  </si>
  <si>
    <t>Additional Six</t>
  </si>
  <si>
    <t>Armour Table</t>
  </si>
  <si>
    <t>Base</t>
  </si>
  <si>
    <t>Max/slot</t>
  </si>
  <si>
    <t>Max</t>
  </si>
  <si>
    <t>Efficiency</t>
  </si>
  <si>
    <t>Power Packs</t>
  </si>
  <si>
    <t>hours</t>
  </si>
  <si>
    <t>Brains</t>
  </si>
  <si>
    <t>Computer/X</t>
  </si>
  <si>
    <t>Skill DM</t>
  </si>
  <si>
    <t>Base capability (built-in no bandwidth, cumulative)</t>
  </si>
  <si>
    <t>Base INT</t>
  </si>
  <si>
    <t>Programming/Control</t>
  </si>
  <si>
    <t>Programmable</t>
  </si>
  <si>
    <t>Primitive-7</t>
  </si>
  <si>
    <t>Primitive-8</t>
  </si>
  <si>
    <t>Basic (x)-8</t>
  </si>
  <si>
    <t>Hunter/Killer-8</t>
  </si>
  <si>
    <t>Basic (x)-10</t>
  </si>
  <si>
    <t>Hunter/Killer-10</t>
  </si>
  <si>
    <t>Advanced-10</t>
  </si>
  <si>
    <t>Advanced-11</t>
  </si>
  <si>
    <t>Advanced-12</t>
  </si>
  <si>
    <t>Very Advanced-12</t>
  </si>
  <si>
    <t>Very Advanced-13</t>
  </si>
  <si>
    <t>Very Advanced-14</t>
  </si>
  <si>
    <t>Self-aware-15</t>
  </si>
  <si>
    <t>Self-aware-16</t>
  </si>
  <si>
    <t>Conscious-17</t>
  </si>
  <si>
    <t>Conscious-18</t>
  </si>
  <si>
    <t>Brains Table</t>
  </si>
  <si>
    <t>Bandwidth</t>
  </si>
  <si>
    <t>Skills</t>
  </si>
  <si>
    <t xml:space="preserve"> </t>
  </si>
  <si>
    <t>/Slot</t>
  </si>
  <si>
    <t>Skill</t>
  </si>
  <si>
    <t>Trait</t>
  </si>
  <si>
    <t>Coating</t>
  </si>
  <si>
    <t>Superior</t>
  </si>
  <si>
    <t>xS</t>
  </si>
  <si>
    <t>Hostile Environment Protection</t>
  </si>
  <si>
    <t>Reflec Armour</t>
  </si>
  <si>
    <t>Vacuum Environment Protection</t>
  </si>
  <si>
    <t>Corrosive Environment Protection</t>
  </si>
  <si>
    <t>Insidious Environment Protection</t>
  </si>
  <si>
    <t>Radiation Environment Protection</t>
  </si>
  <si>
    <t>Basic (labourer)</t>
  </si>
  <si>
    <t>Basic (security)</t>
  </si>
  <si>
    <t>Basic (servant)</t>
  </si>
  <si>
    <t>Basic (service)</t>
  </si>
  <si>
    <t>Hunter/Killer</t>
  </si>
  <si>
    <t>Hunter/Killer (standard)</t>
  </si>
  <si>
    <t>Hunter/Killer (tactical)</t>
  </si>
  <si>
    <t>Primitive Skill Packages</t>
  </si>
  <si>
    <t>Basic Skill Packages</t>
  </si>
  <si>
    <t>Hunter/Killer Skill Packages</t>
  </si>
  <si>
    <t>Standard Skill Packages</t>
  </si>
  <si>
    <t>Admin</t>
  </si>
  <si>
    <t>Packages</t>
  </si>
  <si>
    <t>N/A</t>
  </si>
  <si>
    <t>Advocate</t>
  </si>
  <si>
    <t>Astrogation</t>
  </si>
  <si>
    <t>Art ()</t>
  </si>
  <si>
    <t>Broker</t>
  </si>
  <si>
    <t>Carouse</t>
  </si>
  <si>
    <t>Deception</t>
  </si>
  <si>
    <t>Diplomat</t>
  </si>
  <si>
    <t>Explosives</t>
  </si>
  <si>
    <t>Gambler</t>
  </si>
  <si>
    <t>Investigate</t>
  </si>
  <si>
    <t>Language ()</t>
  </si>
  <si>
    <t>Leadership</t>
  </si>
  <si>
    <t>Mechanic</t>
  </si>
  <si>
    <t>Medic</t>
  </si>
  <si>
    <t>Melee ()</t>
  </si>
  <si>
    <t>Navigation</t>
  </si>
  <si>
    <t>Persuade</t>
  </si>
  <si>
    <t>Profession ()</t>
  </si>
  <si>
    <t>Science ()</t>
  </si>
  <si>
    <t>Seafarer ()</t>
  </si>
  <si>
    <t>Pilot ()</t>
  </si>
  <si>
    <t>Drive ()</t>
  </si>
  <si>
    <t>Flyer ()</t>
  </si>
  <si>
    <t>Streetwise</t>
  </si>
  <si>
    <t>Survival</t>
  </si>
  <si>
    <t>Animals ()</t>
  </si>
  <si>
    <t>Steward</t>
  </si>
  <si>
    <t>Gunner ()</t>
  </si>
  <si>
    <t>Gun Combat ()</t>
  </si>
  <si>
    <t>Heavy Weapons ()</t>
  </si>
  <si>
    <t>Electronics ()</t>
  </si>
  <si>
    <t>Engineer ()</t>
  </si>
  <si>
    <t>Tactics ()</t>
  </si>
  <si>
    <t>Characteristic</t>
  </si>
  <si>
    <t>Bandwidth Upgrade</t>
  </si>
  <si>
    <t>DM</t>
  </si>
  <si>
    <t>Bandwidth Table</t>
  </si>
  <si>
    <t>Minimum Base Brain</t>
  </si>
  <si>
    <t>Advanced +2</t>
  </si>
  <si>
    <t>Advanced +3</t>
  </si>
  <si>
    <t>Basic or Hunter/Killer +1</t>
  </si>
  <si>
    <t>Advanced +4</t>
  </si>
  <si>
    <t>Very Advanced +6</t>
  </si>
  <si>
    <t>Self-Aware +10</t>
  </si>
  <si>
    <t>Self-Aware +15</t>
  </si>
  <si>
    <t>Self-Aware +20</t>
  </si>
  <si>
    <t>Self-Aware +25</t>
  </si>
  <si>
    <t>Conscious +30</t>
  </si>
  <si>
    <t>Conscious +40</t>
  </si>
  <si>
    <t>Conscious +50</t>
  </si>
  <si>
    <t>Very Advanced +8</t>
  </si>
  <si>
    <t>High Speed</t>
  </si>
  <si>
    <t>High</t>
  </si>
  <si>
    <t>No</t>
  </si>
  <si>
    <t>Number</t>
  </si>
  <si>
    <t>Speed Band</t>
  </si>
  <si>
    <t>Speed Bands</t>
  </si>
  <si>
    <t>Low</t>
  </si>
  <si>
    <t>Secondary Locomotion?</t>
  </si>
  <si>
    <t>Agility Enhancement</t>
  </si>
  <si>
    <t>Speed Band:</t>
  </si>
  <si>
    <t>Installed Weapons</t>
  </si>
  <si>
    <t>Chassis Size</t>
  </si>
  <si>
    <t>Resilient Chassis</t>
  </si>
  <si>
    <t>Light Chassis</t>
  </si>
  <si>
    <t>Total Armour:</t>
  </si>
  <si>
    <t>Reference:</t>
  </si>
  <si>
    <t>Chassis Modifications</t>
  </si>
  <si>
    <t>Locomotion Modifications</t>
  </si>
  <si>
    <t>Vehicle Speed Movement?</t>
  </si>
  <si>
    <t>Vehicle Speed Enhancement?</t>
  </si>
  <si>
    <t>Reduced Slots</t>
  </si>
  <si>
    <t>Storage Compartment (refrigerated)</t>
  </si>
  <si>
    <t>QTY</t>
  </si>
  <si>
    <t>Autobar (basic)</t>
  </si>
  <si>
    <t>Autobar (improved)</t>
  </si>
  <si>
    <t>Autobar (enhanced)</t>
  </si>
  <si>
    <t>Autobar (advanced)</t>
  </si>
  <si>
    <t>Autochef (basic)</t>
  </si>
  <si>
    <t>Autochef (improved)</t>
  </si>
  <si>
    <t>Autochef (enhanced)</t>
  </si>
  <si>
    <t>Autochef (advanced)</t>
  </si>
  <si>
    <t>Medikit (basic)</t>
  </si>
  <si>
    <t>Medikit (improved)</t>
  </si>
  <si>
    <t>Medikit (enhanced)</t>
  </si>
  <si>
    <t>Medikit (advanced)</t>
  </si>
  <si>
    <t>Starship Engineer Toolkit (basic)</t>
  </si>
  <si>
    <t>Starship Engineer Toolkit (improved)</t>
  </si>
  <si>
    <t>Starship Engineer Toolkit (enhanced)</t>
  </si>
  <si>
    <t>Starship Engineer Toolkit (advanced)</t>
  </si>
  <si>
    <t>Athletics ()</t>
  </si>
  <si>
    <t>Options Table</t>
  </si>
  <si>
    <t>yNull</t>
  </si>
  <si>
    <t>DS</t>
  </si>
  <si>
    <t>Additional Options</t>
  </si>
  <si>
    <t>***Slotted Options***</t>
  </si>
  <si>
    <t>Olfactory Sensor (basic)</t>
  </si>
  <si>
    <t>Olfactory Sensor (improved)</t>
  </si>
  <si>
    <t>Olfactory Sensor (advanced)</t>
  </si>
  <si>
    <t>variable</t>
  </si>
  <si>
    <t>Recon Sensor (basic)</t>
  </si>
  <si>
    <t>Recon Sensor (improved)</t>
  </si>
  <si>
    <t>Recon Sensor (enhanced)</t>
  </si>
  <si>
    <t>Recon Sensor (advanced)</t>
  </si>
  <si>
    <t>Atmospheric Sensor</t>
  </si>
  <si>
    <t>Self-Repairing Chassis</t>
  </si>
  <si>
    <t>Chassis</t>
  </si>
  <si>
    <t>Active Camouflage</t>
  </si>
  <si>
    <t>Autopilot (improved)</t>
  </si>
  <si>
    <t>Autopilot (enhanced)</t>
  </si>
  <si>
    <t>Autopilot (advanced)</t>
  </si>
  <si>
    <t>Weapon</t>
  </si>
  <si>
    <t>pSlot</t>
  </si>
  <si>
    <t>External Power</t>
  </si>
  <si>
    <t>Encryption Module</t>
  </si>
  <si>
    <t>Satellite Uplink</t>
  </si>
  <si>
    <t>Tightbeam Communicator</t>
  </si>
  <si>
    <t>Navigation System (basic)</t>
  </si>
  <si>
    <t>Navigation System (improved)</t>
  </si>
  <si>
    <t>Navigation System (enhanced)</t>
  </si>
  <si>
    <t>Navigation System (advanced)</t>
  </si>
  <si>
    <t>Medical</t>
  </si>
  <si>
    <t>Medical Chamber</t>
  </si>
  <si>
    <t>Medical Chamber Option: Cryoberth (basic)</t>
  </si>
  <si>
    <t>Medical Chamber Option: Cryoberth (improved)</t>
  </si>
  <si>
    <t>Medical Chamber Option: Reanimation</t>
  </si>
  <si>
    <t>Swarm Controller (basic)</t>
  </si>
  <si>
    <t>Swarm Controller (improved)</t>
  </si>
  <si>
    <t>Swarm Controller (enhanced)</t>
  </si>
  <si>
    <t>Swarm Controller (advanced)</t>
  </si>
  <si>
    <t>Power</t>
  </si>
  <si>
    <t>No Internal Power</t>
  </si>
  <si>
    <t>Solar Power Unit (basic)</t>
  </si>
  <si>
    <t>Solar Power Unit (improved)</t>
  </si>
  <si>
    <t>Solar Power Unit (enhanced)</t>
  </si>
  <si>
    <t>Solar Power Unit (advanced)</t>
  </si>
  <si>
    <t>Tool Kit</t>
  </si>
  <si>
    <t>Scientific Toolkit (basic)</t>
  </si>
  <si>
    <t>Scientific Toolkit (improved)</t>
  </si>
  <si>
    <t>Scientific Toolkit (enhanced)</t>
  </si>
  <si>
    <t>Scientific Toolkit (advanced)</t>
  </si>
  <si>
    <t>Electronics Toolkit (basic)</t>
  </si>
  <si>
    <t>Electronics Toolkit (improved)</t>
  </si>
  <si>
    <t>Electronics Toolkit (enhanced)</t>
  </si>
  <si>
    <t>Electronics Toolkit (advanced)</t>
  </si>
  <si>
    <t>Forensic Toolkit (basic)</t>
  </si>
  <si>
    <t>Forensic Toolkit (improved)</t>
  </si>
  <si>
    <t>Forensic Toolkit (enhanced)</t>
  </si>
  <si>
    <t>Forensic Toolkit (advanced)</t>
  </si>
  <si>
    <t>Mechanical Toolkit (basic)</t>
  </si>
  <si>
    <t>Mechanical Toolkit (improved)</t>
  </si>
  <si>
    <t>Mechanical Toolkit (advanced)</t>
  </si>
  <si>
    <t>Miscellaneous</t>
  </si>
  <si>
    <t>Fire Control System (basic)</t>
  </si>
  <si>
    <t>Fire Control System (improved)</t>
  </si>
  <si>
    <t>Fire Control System (enhanced)</t>
  </si>
  <si>
    <t>Fire Control System (advanced)</t>
  </si>
  <si>
    <t>Stealth (basic)</t>
  </si>
  <si>
    <t>Stealth (improved)</t>
  </si>
  <si>
    <t>Stealth (enhanced)</t>
  </si>
  <si>
    <t>Stealth (advanced)</t>
  </si>
  <si>
    <t>Geiger Counter</t>
  </si>
  <si>
    <t>Bioscanner Sensor</t>
  </si>
  <si>
    <t>Densitometer Sensor</t>
  </si>
  <si>
    <t>Neural Activity Sensor</t>
  </si>
  <si>
    <t>Planetology Sensor Suite</t>
  </si>
  <si>
    <t>Drone Interface</t>
  </si>
  <si>
    <t>Drone</t>
  </si>
  <si>
    <t>Drone Control Interface (basic)</t>
  </si>
  <si>
    <t>Drone Control Interface (primitive)</t>
  </si>
  <si>
    <t>Drone Control Interface (improved)</t>
  </si>
  <si>
    <t>Drone Control Interface (advanced)</t>
  </si>
  <si>
    <t>Thruster</t>
  </si>
  <si>
    <t>Gecko Grippers</t>
  </si>
  <si>
    <t>Magnetic Grippers</t>
  </si>
  <si>
    <t>Stinger</t>
  </si>
  <si>
    <t>Injector Needle</t>
  </si>
  <si>
    <t>Characteristics</t>
  </si>
  <si>
    <t>Value</t>
  </si>
  <si>
    <t>Effects</t>
  </si>
  <si>
    <t>Agility =</t>
  </si>
  <si>
    <t>Hits =</t>
  </si>
  <si>
    <t>Tactical Speed Modification</t>
  </si>
  <si>
    <t>Notes</t>
  </si>
  <si>
    <t>Endurance =</t>
  </si>
  <si>
    <t>Total Hits</t>
  </si>
  <si>
    <t>Mod/Final(DM)</t>
  </si>
  <si>
    <t>Final Agility:</t>
  </si>
  <si>
    <t>Final Speed:</t>
  </si>
  <si>
    <t>Adjusted Skills</t>
  </si>
  <si>
    <t>Brain Hardening (/fib)</t>
  </si>
  <si>
    <t>Brain Type</t>
  </si>
  <si>
    <t>Adjusted Bandwidth</t>
  </si>
  <si>
    <t>X</t>
  </si>
  <si>
    <t>Net</t>
  </si>
  <si>
    <t>Max:</t>
  </si>
  <si>
    <t>Char</t>
  </si>
  <si>
    <t xml:space="preserve">TL = </t>
  </si>
  <si>
    <t>+</t>
  </si>
  <si>
    <t>Hits</t>
  </si>
  <si>
    <t>Robot</t>
  </si>
  <si>
    <t>Speed</t>
  </si>
  <si>
    <t>Attacks</t>
  </si>
  <si>
    <t>Programming</t>
  </si>
  <si>
    <t xml:space="preserve">Stealth 1, </t>
  </si>
  <si>
    <t xml:space="preserve">Stealth 2, </t>
  </si>
  <si>
    <t xml:space="preserve">Stealth 3, </t>
  </si>
  <si>
    <t xml:space="preserve">Stealth 4, </t>
  </si>
  <si>
    <t xml:space="preserve">Vehicle () 1, </t>
  </si>
  <si>
    <t xml:space="preserve">Vehicle () 2, </t>
  </si>
  <si>
    <t xml:space="preserve">Vehicle () 3, </t>
  </si>
  <si>
    <t xml:space="preserve">Navigation 1, </t>
  </si>
  <si>
    <t xml:space="preserve">Navigation 2, </t>
  </si>
  <si>
    <t xml:space="preserve">Navigation 3, </t>
  </si>
  <si>
    <t xml:space="preserve">Navigation 4, </t>
  </si>
  <si>
    <t xml:space="preserve">Recon 1, </t>
  </si>
  <si>
    <t xml:space="preserve">Recon 2, </t>
  </si>
  <si>
    <t xml:space="preserve">Recon 3, </t>
  </si>
  <si>
    <t xml:space="preserve">Weapon () 1, </t>
  </si>
  <si>
    <t xml:space="preserve">Weapon () 2, </t>
  </si>
  <si>
    <t xml:space="preserve">Weapon () 3, </t>
  </si>
  <si>
    <t xml:space="preserve">Weapon () 4, </t>
  </si>
  <si>
    <t xml:space="preserve">Recon 0, </t>
  </si>
  <si>
    <t xml:space="preserve">(++10 vs. lasers), </t>
  </si>
  <si>
    <t xml:space="preserve">Heightened Senses, </t>
  </si>
  <si>
    <t xml:space="preserve">IR/UV Vision, </t>
  </si>
  <si>
    <t xml:space="preserve">Invisible, </t>
  </si>
  <si>
    <t xml:space="preserve">ATV, </t>
  </si>
  <si>
    <t xml:space="preserve">Flyer, </t>
  </si>
  <si>
    <t xml:space="preserve">Seafarer, </t>
  </si>
  <si>
    <t xml:space="preserve">ACV, </t>
  </si>
  <si>
    <t xml:space="preserve">Profession (domestic cleaner) 2, </t>
  </si>
  <si>
    <t xml:space="preserve">Weapon 1, </t>
  </si>
  <si>
    <t xml:space="preserve">Profession (labourer) 2, </t>
  </si>
  <si>
    <t xml:space="preserve">Weapon 1, Tactics (military) 1, </t>
  </si>
  <si>
    <t xml:space="preserve">Profession (domestic servant) 2, </t>
  </si>
  <si>
    <t xml:space="preserve">Mechanic 0, Steward 0, </t>
  </si>
  <si>
    <t>Weapon Traits</t>
  </si>
  <si>
    <t>Range</t>
  </si>
  <si>
    <t>D</t>
  </si>
  <si>
    <t>Mag</t>
  </si>
  <si>
    <t>none</t>
  </si>
  <si>
    <t xml:space="preserve">Gun Combat () 0 or Melee () 0, </t>
  </si>
  <si>
    <t>Subcategory</t>
  </si>
  <si>
    <t>Art (</t>
  </si>
  <si>
    <t>Flyer (</t>
  </si>
  <si>
    <t>Engineer (</t>
  </si>
  <si>
    <t>Electronics (</t>
  </si>
  <si>
    <t>Athletics (</t>
  </si>
  <si>
    <t>Animals (</t>
  </si>
  <si>
    <t>Gunner (</t>
  </si>
  <si>
    <t>Gun Combat (</t>
  </si>
  <si>
    <t>Heavy Weapons (</t>
  </si>
  <si>
    <t>Language (</t>
  </si>
  <si>
    <t>Melee (</t>
  </si>
  <si>
    <t>Pilot (</t>
  </si>
  <si>
    <t>Profession (</t>
  </si>
  <si>
    <t>Science (</t>
  </si>
  <si>
    <t>Seafarer (</t>
  </si>
  <si>
    <t>Tactics (</t>
  </si>
  <si>
    <t>bane on Stealth</t>
  </si>
  <si>
    <t>TL days protection</t>
  </si>
  <si>
    <t>+50 X TL Rads</t>
  </si>
  <si>
    <t>1 max drones, 0 max skill</t>
  </si>
  <si>
    <t>2 max drones, 1 max skill</t>
  </si>
  <si>
    <t>4 max drones, 2 max skill</t>
  </si>
  <si>
    <t>8 max drones, 3 max skill</t>
  </si>
  <si>
    <t>1 max tasks, 0 max skill</t>
  </si>
  <si>
    <t>2 max tasks, 1 max skill</t>
  </si>
  <si>
    <t>3 max tasks, 2 max skill</t>
  </si>
  <si>
    <t>4 max tasks, 3 max skill</t>
  </si>
  <si>
    <t>0 max skill</t>
  </si>
  <si>
    <t>1 max skill</t>
  </si>
  <si>
    <t>2 max skill</t>
  </si>
  <si>
    <t>3 max skill</t>
  </si>
  <si>
    <t>100 years op life</t>
  </si>
  <si>
    <t>50 years op life</t>
  </si>
  <si>
    <t>10 years op life</t>
  </si>
  <si>
    <t>100 m range</t>
  </si>
  <si>
    <t>500 m range</t>
  </si>
  <si>
    <t>DM+1 to skill checks</t>
  </si>
  <si>
    <t>no manip mount</t>
  </si>
  <si>
    <t>2 kg or litres / slot</t>
  </si>
  <si>
    <t>z0</t>
  </si>
  <si>
    <t>Zeros</t>
  </si>
  <si>
    <t>+ Hostile env</t>
  </si>
  <si>
    <t>500m min range</t>
  </si>
  <si>
    <t>250m min range</t>
  </si>
  <si>
    <t>100m min range</t>
  </si>
  <si>
    <t>50m min range</t>
  </si>
  <si>
    <t>10m min range</t>
  </si>
  <si>
    <t>1m min range</t>
  </si>
  <si>
    <t>5m min range</t>
  </si>
  <si>
    <t>20m min range</t>
  </si>
  <si>
    <t>50m range</t>
  </si>
  <si>
    <t>0m min range</t>
  </si>
  <si>
    <t>heals 1 hit / attack</t>
  </si>
  <si>
    <t>25 years half-life</t>
  </si>
  <si>
    <t>50 years half-life</t>
  </si>
  <si>
    <t>100 years half-life</t>
  </si>
  <si>
    <t>25 years op life</t>
  </si>
  <si>
    <t>manip size 3-*</t>
  </si>
  <si>
    <t>manip size 5-*</t>
  </si>
  <si>
    <t>manip size 7-*</t>
  </si>
  <si>
    <t>Cleaning</t>
  </si>
  <si>
    <t>Domestic Cleaning Equipment (medium)</t>
  </si>
  <si>
    <t>Domestic Cleaning Equipment (small)</t>
  </si>
  <si>
    <t>Industrial Cleaning Equipment (medium)</t>
  </si>
  <si>
    <t>Industrial Cleaning Equipment (small)</t>
  </si>
  <si>
    <t>Industrial Cleaning Equipment (large)</t>
  </si>
  <si>
    <t>Agricultural Equipment (small)</t>
  </si>
  <si>
    <t>Agricultural Equipment (medium)</t>
  </si>
  <si>
    <t>Agricultural Equipment (large)</t>
  </si>
  <si>
    <t>Mining Equipment (small)</t>
  </si>
  <si>
    <t>Mining Equipment (medium)</t>
  </si>
  <si>
    <t>Mining Equipment (large)</t>
  </si>
  <si>
    <t>Construction Equipment (small)</t>
  </si>
  <si>
    <t>Construction Equipment (medium)</t>
  </si>
  <si>
    <t>Construction Equipment (large)</t>
  </si>
  <si>
    <t>Storage Compartment (hazardous material)</t>
  </si>
  <si>
    <t>Domestic Cleaning Equipment (large)</t>
  </si>
  <si>
    <t>10 m^2 / hour</t>
  </si>
  <si>
    <t>1 m^3 / hour</t>
  </si>
  <si>
    <t>50 m^2 / hour</t>
  </si>
  <si>
    <t>120 m^2 / hour</t>
  </si>
  <si>
    <t>5 m^3 / hour</t>
  </si>
  <si>
    <t>0.2 m^3 / hour</t>
  </si>
  <si>
    <t>0.5 m^3 / hour</t>
  </si>
  <si>
    <t>20 m^2 / hour</t>
  </si>
  <si>
    <t>100 m^2 / hour</t>
  </si>
  <si>
    <t>500 m^2 / hour</t>
  </si>
  <si>
    <t>Robotic Drone Controller (basic)</t>
  </si>
  <si>
    <t>Robotic Drone Controller (improved)</t>
  </si>
  <si>
    <t>Robotic Drone Controller (enhanced)</t>
  </si>
  <si>
    <t>Robotic Drone Controller (advanced)</t>
  </si>
  <si>
    <t>Voder Speaker (broad spectrum)</t>
  </si>
  <si>
    <t>Finalisation</t>
  </si>
  <si>
    <t>Weapon Mount (small)</t>
  </si>
  <si>
    <t>Weapon Mount (medium)</t>
  </si>
  <si>
    <t>Weapon Mount (heavy)</t>
  </si>
  <si>
    <t>Weapon Mount (vehicle)</t>
  </si>
  <si>
    <t>Weapon Mount Autoloader (small)</t>
  </si>
  <si>
    <t>Weapon Mount Autoloader (medium)</t>
  </si>
  <si>
    <t>Weapon Mount Autoloader (heavy)</t>
  </si>
  <si>
    <t>Weapon Mount Autoloader (vehicle)</t>
  </si>
  <si>
    <t>Transceiver 5 km (basic)</t>
  </si>
  <si>
    <t>Transceiver 5 km (improved)</t>
  </si>
  <si>
    <t>Transceiver 50 km (improved)</t>
  </si>
  <si>
    <t>Transceiver 50 km (enhanced)</t>
  </si>
  <si>
    <t>Transceiver 50 km (advanced)</t>
  </si>
  <si>
    <t>Transceiver 500 km (improved)</t>
  </si>
  <si>
    <t>Transceiver 500 km (enhanced)</t>
  </si>
  <si>
    <t>Transceiver 500 km (advanced)</t>
  </si>
  <si>
    <t>Storage Compartment (standard)</t>
  </si>
  <si>
    <t>Primitive (alert)</t>
  </si>
  <si>
    <t>Primitive (clean)</t>
  </si>
  <si>
    <t xml:space="preserve">Initial </t>
  </si>
  <si>
    <t>Options</t>
  </si>
  <si>
    <t>Basic (target)</t>
  </si>
  <si>
    <t>Primitive (homing)</t>
  </si>
  <si>
    <t>Updated block to include Locomotion and Manipulators. Added INT to Programming. Changed max resiliency to +/- 50%. INT formatting. Modified colum width and Finalisation formatting.</t>
  </si>
  <si>
    <t>Sort</t>
  </si>
  <si>
    <t>Transceiver 5000 km (advanced)</t>
  </si>
  <si>
    <t>Transceiver 50 km (basic)</t>
  </si>
  <si>
    <t>Transceiver 50000 km (advanced)</t>
  </si>
  <si>
    <t>Transceiver 50000 km (basic)</t>
  </si>
  <si>
    <t>Transceiver 50000 km (enhanced)</t>
  </si>
  <si>
    <t>Transceiver 50000 km (improved)</t>
  </si>
  <si>
    <t>Transceiver 500 km (basic)</t>
  </si>
  <si>
    <t>Transceiver 500000 km (advanced)</t>
  </si>
  <si>
    <t>Transceiver 500000 km (basic)</t>
  </si>
  <si>
    <t>Transceiver 500000 km (enhanced)</t>
  </si>
  <si>
    <t>Transceiver 500000 km (improved)</t>
  </si>
  <si>
    <t>Transceiver 5000 km (basic)</t>
  </si>
  <si>
    <t>Camouflage: Audible (advanced)</t>
  </si>
  <si>
    <t>Camouflage: Audible (basic)</t>
  </si>
  <si>
    <t>Camouflage: Audible (improved)</t>
  </si>
  <si>
    <t>Camouflage: Olfactory (advanced)</t>
  </si>
  <si>
    <t>Camouflage: Olfactory (basic)</t>
  </si>
  <si>
    <t>Camouflage: Olfactory (improved)</t>
  </si>
  <si>
    <t>Camouflage: Visual (advanced)</t>
  </si>
  <si>
    <t>Camouflage: Visual (basic)</t>
  </si>
  <si>
    <t>Camouflage: Visual (enhanced)</t>
  </si>
  <si>
    <t>Camouflage: Visual (improved)</t>
  </si>
  <si>
    <t>Camouflage: Visual (primitive)</t>
  </si>
  <si>
    <t>Fabrication Chamber (basic)</t>
  </si>
  <si>
    <t>Fabrication Chamber (improved)</t>
  </si>
  <si>
    <t>Fabrication Chamber (enhanced)</t>
  </si>
  <si>
    <t>Fabrication Chamber (advanced)</t>
  </si>
  <si>
    <t>Special</t>
  </si>
  <si>
    <t>zznull</t>
  </si>
  <si>
    <t>zTBD</t>
  </si>
  <si>
    <t>TBD</t>
  </si>
  <si>
    <t>uncanny valley</t>
  </si>
  <si>
    <t>natural-looking</t>
  </si>
  <si>
    <t>natural, Invisitech</t>
  </si>
  <si>
    <t>natural, Invisitech, self-repairing</t>
  </si>
  <si>
    <t>pass as biological</t>
  </si>
  <si>
    <t>RTG Long Duration (basic)</t>
  </si>
  <si>
    <t>RTG Long Duration (improved)</t>
  </si>
  <si>
    <t>RTG Long Duration (advanced)</t>
  </si>
  <si>
    <t>RTG Short Duration (basic)</t>
  </si>
  <si>
    <t>RTG Short Duration (improved)</t>
  </si>
  <si>
    <t>RTG Short Duration (advanced)</t>
  </si>
  <si>
    <t>3 years half-life</t>
  </si>
  <si>
    <t>4 years half-life</t>
  </si>
  <si>
    <t>5 years half-life</t>
  </si>
  <si>
    <t>Transceiver 5000 km (improved)</t>
  </si>
  <si>
    <t>Transceiver 5000 km (enhanced)</t>
  </si>
  <si>
    <t>Primitive (evade)</t>
  </si>
  <si>
    <t>Athletics (dexterity) 1, Stealth 2</t>
  </si>
  <si>
    <t>Thermal Sensor</t>
  </si>
  <si>
    <t>IR vision</t>
  </si>
  <si>
    <t xml:space="preserve">Heavy Weapons (vehicle) 0, </t>
  </si>
  <si>
    <t xml:space="preserve">Heavy Weapons (portable) 0, </t>
  </si>
  <si>
    <t>Drive (</t>
  </si>
  <si>
    <t>(stopped)</t>
  </si>
  <si>
    <t>(idle)</t>
  </si>
  <si>
    <t>(very slow)</t>
  </si>
  <si>
    <t>(slow)</t>
  </si>
  <si>
    <t>(medium)</t>
  </si>
  <si>
    <t>(high)</t>
  </si>
  <si>
    <t>(fast)</t>
  </si>
  <si>
    <t>(very fast)</t>
  </si>
  <si>
    <t>(subsonic)</t>
  </si>
  <si>
    <t>(supersonic)</t>
  </si>
  <si>
    <t>(hypersonic)</t>
  </si>
  <si>
    <t>slow</t>
  </si>
  <si>
    <t>very slow</t>
  </si>
  <si>
    <t>high</t>
  </si>
  <si>
    <t>medium</t>
  </si>
  <si>
    <t>hypersonic</t>
  </si>
  <si>
    <t>Stealth (+1)</t>
  </si>
  <si>
    <t>Stealth (+2)</t>
  </si>
  <si>
    <t>Stealth (+3)</t>
  </si>
  <si>
    <t>Stealth (+4)</t>
  </si>
  <si>
    <t>(spare slot)</t>
  </si>
  <si>
    <t xml:space="preserve">IR Vision, </t>
  </si>
  <si>
    <t>Basic (none)</t>
  </si>
  <si>
    <t>Changed capitalisation on cell N15 to lower case</t>
  </si>
  <si>
    <t>Cutting Torch (basic)</t>
  </si>
  <si>
    <t>Cutting Torch (advanced)</t>
  </si>
  <si>
    <t>Fire Extinguisher</t>
  </si>
  <si>
    <t>Forklift (small)</t>
  </si>
  <si>
    <t>Forklift (medium)</t>
  </si>
  <si>
    <t>0.5 dtons maximum</t>
  </si>
  <si>
    <t>1.0 dtons maximum</t>
  </si>
  <si>
    <t>5.0 dtons maximum</t>
  </si>
  <si>
    <t>Forklift (large)</t>
  </si>
  <si>
    <t>DM+1 to Max skill</t>
  </si>
  <si>
    <t>Reanimation</t>
  </si>
  <si>
    <t>Fixed DEX enhancement cost for additional manipulator in cells P22:P28</t>
  </si>
  <si>
    <t>Added Slot increase for no locomotion</t>
  </si>
  <si>
    <t>Medical Chamber Option: Low berth (basic)</t>
  </si>
  <si>
    <t>Medical Chamber Option: Low berth (improved)</t>
  </si>
  <si>
    <t>DM+1 to revival</t>
  </si>
  <si>
    <t>DM+1 to Cryo &amp; revival</t>
  </si>
  <si>
    <t>Biological Robot (basic)</t>
  </si>
  <si>
    <t>Biological Robot (improved)</t>
  </si>
  <si>
    <t>Biological Robot (enhanced)</t>
  </si>
  <si>
    <t>Biological Robot (advanced)</t>
  </si>
  <si>
    <t>Microbot Design Worksheet</t>
  </si>
  <si>
    <t>Armour (Base =  +0)</t>
  </si>
  <si>
    <t>Microbot</t>
  </si>
  <si>
    <t>Microbot Manipulator</t>
  </si>
  <si>
    <t>Zero Slot Options</t>
  </si>
  <si>
    <t>Microbot Brains Table</t>
  </si>
  <si>
    <t>Very Advanced</t>
  </si>
  <si>
    <t>Recon 0,</t>
  </si>
  <si>
    <t>Basic (recon)</t>
  </si>
  <si>
    <t xml:space="preserve">Explosives 1, Recon 0, </t>
  </si>
  <si>
    <t>Recon 2,</t>
  </si>
  <si>
    <t>Solar Coating (basic)</t>
  </si>
  <si>
    <t>Solar Coating (improved)</t>
  </si>
  <si>
    <t>Solar Coating (enhanced)</t>
  </si>
  <si>
    <t>Solar Coating (advanced)</t>
  </si>
  <si>
    <t xml:space="preserve">Small (-4), </t>
  </si>
  <si>
    <t>Light Intensifier Sensor (basic)</t>
  </si>
  <si>
    <t>Light Intensifier Sensor (advanced)</t>
  </si>
  <si>
    <t>Tab</t>
  </si>
  <si>
    <t>Reference</t>
  </si>
  <si>
    <t>Brain</t>
  </si>
  <si>
    <t>None or Drone</t>
  </si>
  <si>
    <t>2 m^3 / hour</t>
  </si>
  <si>
    <t>8m^3 / hour</t>
  </si>
  <si>
    <t>Bioreaction Chamber (basic)</t>
  </si>
  <si>
    <t>Bioreaction Chamber (improved)</t>
  </si>
  <si>
    <t>Bioreaction Chamber (enhanced)</t>
  </si>
  <si>
    <t>Bioreaction Chamber (advanced)</t>
  </si>
  <si>
    <t>Microbes</t>
  </si>
  <si>
    <t>Tissues</t>
  </si>
  <si>
    <t>Complex organisms</t>
  </si>
  <si>
    <t>Accelerated growth</t>
  </si>
  <si>
    <t>Cutting Torch (improved)</t>
  </si>
  <si>
    <t>Wheels, ATV</t>
  </si>
  <si>
    <t>Laser Designator</t>
  </si>
  <si>
    <t>1.33M</t>
  </si>
  <si>
    <t>Micro-only fix of final speed computation in cell J12</t>
  </si>
  <si>
    <t>Vacuum Environment Protection (biological)</t>
  </si>
  <si>
    <t>Avatar Controller (basic)</t>
  </si>
  <si>
    <t>Avatar Controller (improved)</t>
  </si>
  <si>
    <t>Avatar Controller (enhanced)</t>
  </si>
  <si>
    <t>Avatar Controller (advanced)</t>
  </si>
  <si>
    <t>Basic (locomotion)</t>
  </si>
  <si>
    <t xml:space="preserve">Athletics (dexterity) X, Vehicle (type) X, </t>
  </si>
  <si>
    <t>Fixed Final Speed(J14) to add Agility modifier - add Final Agility (J13), not base Agility(J5)</t>
  </si>
  <si>
    <t>PP</t>
  </si>
  <si>
    <t>Ath(end)</t>
  </si>
  <si>
    <t>Aeroplane</t>
  </si>
  <si>
    <t>Android</t>
  </si>
  <si>
    <t>Android (basic)</t>
  </si>
  <si>
    <t>Android (improved)</t>
  </si>
  <si>
    <t>Android (enhanced)</t>
  </si>
  <si>
    <t>Android (advanced)</t>
  </si>
  <si>
    <t>Android (superior)</t>
  </si>
  <si>
    <t>Android price mod in cells L36:L56 plus Sum formula in P91. Fixed brain slot computation in cell E64. Blanks Additional Options defaults</t>
  </si>
  <si>
    <t>Added Biological Robot to Skinjob logic in cells L36:L56; Initial cut at Microbot worksheet</t>
  </si>
  <si>
    <t>Modified Armour logic to account for Skinjob (always Base Armour= 0) in Cells A7 and J7</t>
  </si>
  <si>
    <t>End Final</t>
  </si>
  <si>
    <r>
      <t xml:space="preserve">Changed base Endurance to be modified by TL12+ (+50%) or TL15+ (100%) in cell K14; Changed Athletics (endurance) to only apply to power packs in cell O9 </t>
    </r>
    <r>
      <rPr>
        <sz val="9"/>
        <color rgb="FFFF0000"/>
        <rFont val="Calibri"/>
        <family val="2"/>
        <scheme val="minor"/>
      </rPr>
      <t>(retrofitted via Global Search and Replace)</t>
    </r>
  </si>
  <si>
    <r>
      <t xml:space="preserve">Change 'Skinjob' to 'Android" in logic in cells L36:L56 </t>
    </r>
    <r>
      <rPr>
        <sz val="9"/>
        <color rgb="FFFF0000"/>
        <rFont val="Calibri"/>
        <family val="2"/>
        <scheme val="minor"/>
      </rPr>
      <t>(retrofitted via Global Search and Replace)</t>
    </r>
  </si>
  <si>
    <t>Auditory Sensor</t>
  </si>
  <si>
    <t>Auditory Sensor (broad spectrum)</t>
  </si>
  <si>
    <t>Quick Charger</t>
  </si>
  <si>
    <t>1 hour recharge</t>
  </si>
  <si>
    <t>50 m Safe Depth</t>
  </si>
  <si>
    <t>200 m Safe Depth</t>
  </si>
  <si>
    <t>600 m Safe Depth</t>
  </si>
  <si>
    <t>2000 m Safe Depth</t>
  </si>
  <si>
    <t>4000 m Safe Depth</t>
  </si>
  <si>
    <t>Video Projector</t>
  </si>
  <si>
    <t>Holographic Projector</t>
  </si>
  <si>
    <t>Added Retrotech for TL12+ brains to cell P64</t>
  </si>
  <si>
    <t>Fixed armour for Androids in cell N7</t>
  </si>
  <si>
    <t>For Travellers: DM+0</t>
  </si>
  <si>
    <t>For Travellers: DM+1</t>
  </si>
  <si>
    <t>For Travellers: DM-4</t>
  </si>
  <si>
    <t>For Travellers: DM-2</t>
  </si>
  <si>
    <t>Fixed Total Cost in P91 to roundup to a whole number  to avoid erronous rounding discount calculation; changed B7 to fix data validation error (loop)</t>
  </si>
  <si>
    <t>2D: 640x480</t>
  </si>
  <si>
    <t>2D: 1920x1080</t>
  </si>
  <si>
    <t>3D:16Kx9K</t>
  </si>
  <si>
    <t>Video Screen (basic)</t>
  </si>
  <si>
    <t>Video Screen (improved)</t>
  </si>
  <si>
    <t>Video Screen (advanced)</t>
  </si>
  <si>
    <t>Robot Design Worksheet Instruction (WIP)</t>
  </si>
  <si>
    <t>2. Right-Click</t>
  </si>
  <si>
    <t>To create a new robot, make a copy of the "Blank" worksheet tab:</t>
  </si>
  <si>
    <t>To create a robot on a worksheet follow these guidelines:</t>
  </si>
  <si>
    <t>Hint: Removing locomotion or manipulators can gain slots for other uses.</t>
  </si>
  <si>
    <t>To copy the Robot Block into Word:</t>
  </si>
  <si>
    <t>The yellow cell E2 computes the number of available slots on the robot. When the design exceeds the available slots, E2 will turn negative and red.</t>
  </si>
  <si>
    <t>To add a robot to the Summary Tab:</t>
  </si>
  <si>
    <t>Overview of Tabs:</t>
  </si>
  <si>
    <t>Instruction</t>
  </si>
  <si>
    <t>Summary</t>
  </si>
  <si>
    <t>This tab</t>
  </si>
  <si>
    <t>Overview table of robot worksheets</t>
  </si>
  <si>
    <t>Blank</t>
  </si>
  <si>
    <t>Micro</t>
  </si>
  <si>
    <t>Blank master sheet for microbot creation</t>
  </si>
  <si>
    <t>Source tables for Chassis, locomotion, armour and speed bands</t>
  </si>
  <si>
    <t>Source tables for robot brains</t>
  </si>
  <si>
    <t>Blank master sheet for robot creation</t>
  </si>
  <si>
    <t>Source table for all robot physical options</t>
  </si>
  <si>
    <t>Source tables for all brain specialisations and skill packages</t>
  </si>
  <si>
    <t>Set the Tech Level in Cell O2; this cell has drop-down values  from TL7 to 18. If selected components are above the selected TL, they will turn the cell in the TL column red.</t>
  </si>
  <si>
    <t>Purpose</t>
  </si>
  <si>
    <t>6. Click "Okay"</t>
  </si>
  <si>
    <t>4. Click the "Create a Copy…" Checkbox</t>
  </si>
  <si>
    <t xml:space="preserve">This will create a new tab called "Blank (2)". Right-click to rename the tab. </t>
  </si>
  <si>
    <t>1. Select the "Blank" tab</t>
  </si>
  <si>
    <t>If you accidently moved "Blank" instead of copying, you can repeat the procedure correctly to make a copy and move the Blank tab back.</t>
  </si>
  <si>
    <t>Most green cells have drop-downs fed from source tables which will show up as a grey downward arrow box to the right of the cell when selected.</t>
  </si>
  <si>
    <t>Many green cells use Data Validation and throw an error message when values are outside allowed values.</t>
  </si>
  <si>
    <t>Cells P2 and P91 display the total raw cost of components, including the tripling costs for Android and Biologicals.</t>
  </si>
  <si>
    <t>The finalisation Cost in cell F97 is computed from cell P91, the rounding significant digits in cell B108 and the discount percentage in B110.</t>
  </si>
  <si>
    <t>Select and Copy the cells B96:F104.</t>
  </si>
  <si>
    <t>In Word, Right-Click the blank line for the start of the Robot Block.</t>
  </si>
  <si>
    <t>Select Paste Options: Use Destination Style (the second choice).</t>
  </si>
  <si>
    <t>Edit the Block by correcting any alphabetisation or formatting artefacts.</t>
  </si>
  <si>
    <t>Added logic to account for None/Drone brains to Blank and Micro tabs in B103 and B60, respectively</t>
  </si>
  <si>
    <t>Fixed Retrotech bug in P64 to prevent Advanced-12 brains from getting too cheap</t>
  </si>
  <si>
    <t>+ Geiger counter</t>
  </si>
  <si>
    <t>Submersible Environment Protection 50 m (basic)</t>
  </si>
  <si>
    <t>Submersible Environment Protection 200m (improved)</t>
  </si>
  <si>
    <t>Submersible Environment Protection 600 m (enhanced)</t>
  </si>
  <si>
    <t>Submersible Environment Protection 2000 m (advanced)</t>
  </si>
  <si>
    <t>Submersible Environment Protection 4000 m (superior)</t>
  </si>
  <si>
    <t>20-20,000 Hz, 0dB</t>
  </si>
  <si>
    <t>1-100,000 Hz, -10dB</t>
  </si>
  <si>
    <t>+visual &amp; thermal sensors</t>
  </si>
  <si>
    <t>+Atmos, b-s audio, visual</t>
  </si>
  <si>
    <t>Includes 500 rads</t>
  </si>
  <si>
    <t>AP= base armour for TL</t>
  </si>
  <si>
    <t xml:space="preserve">x12 maintenance </t>
  </si>
  <si>
    <t>x24 maintenance</t>
  </si>
  <si>
    <t>x60 maintenance</t>
  </si>
  <si>
    <t>no maintenance</t>
  </si>
  <si>
    <t>Camouflage: Visual (superior)</t>
  </si>
  <si>
    <t>Medical Chamber Option: Nanobot applicator</t>
  </si>
  <si>
    <t>Medical Chamber Option: Nanobot generator</t>
  </si>
  <si>
    <t>Intellect Upgrade</t>
  </si>
  <si>
    <t>3. Select 'Move or Copy…"</t>
  </si>
  <si>
    <t>5. Scroll down the main dialog box past the Notes tab</t>
  </si>
  <si>
    <t>A similar copy procedure on the Red "Micro" tab will create a new worksheet for a Microbot</t>
  </si>
  <si>
    <t>Editable cells are in green; nothing prevents you from change other cells, but  directly editing them will alter spreadsheet behaviour.</t>
  </si>
  <si>
    <t>Give the robot a name in Cell B2.</t>
  </si>
  <si>
    <t>Base Chassis Cost:</t>
  </si>
  <si>
    <t>Basic Cost:</t>
  </si>
  <si>
    <t>Added label for Base Chassis Cost, implemented -1 Base Armour cost savings in Cells B7 and P7. Changes to base manipulator costs in P19:P20</t>
  </si>
  <si>
    <t>Fly = null | Ground = 1m</t>
  </si>
  <si>
    <t>Fly = null | Ground = 2m</t>
  </si>
  <si>
    <t>Fly = 1m  | Ground = 4m</t>
  </si>
  <si>
    <t>Fly = 2m  | Ground = full</t>
  </si>
  <si>
    <t xml:space="preserve">Recon 0, Weapon 0, </t>
  </si>
  <si>
    <t xml:space="preserve">Recon 0, Weapon 0, Tactics (military) 2, </t>
  </si>
  <si>
    <t>Stylist Toolkit</t>
  </si>
  <si>
    <t>species-specific</t>
  </si>
  <si>
    <t>Self-Destruct System: Defensive</t>
  </si>
  <si>
    <t>Self-Destruct System: Offensive</t>
  </si>
  <si>
    <t>Self-Destruct System: TDX</t>
  </si>
  <si>
    <t>Self-Destruct System: Nuclear</t>
  </si>
  <si>
    <t>Parasite Link</t>
  </si>
  <si>
    <t>High Fidelity Sound System (basic)</t>
  </si>
  <si>
    <t>High Fidelity Sound System (improved)</t>
  </si>
  <si>
    <t>High Fidelity Sound System (advanced)</t>
  </si>
  <si>
    <t>High Fidelity Sound System (enhanced)</t>
  </si>
  <si>
    <t>focussed sound</t>
  </si>
  <si>
    <t>'live' performance</t>
  </si>
  <si>
    <t>Corrosive Environment Protection: Microbot</t>
  </si>
  <si>
    <t>Insidious Environment Protection: Microbot</t>
  </si>
  <si>
    <t>Radiation Environment Protection: Microbot</t>
  </si>
  <si>
    <t>1.40M</t>
  </si>
  <si>
    <t>Micro-only fix for advanced mircobot environmental options in Cell P48</t>
  </si>
  <si>
    <t>Versioning Change Log</t>
  </si>
  <si>
    <t>Running change log of spreadsheet changes. The current version of the Blank worksheet is noted in cell P1</t>
  </si>
  <si>
    <t>Microbot Defensive Self-Destruct</t>
  </si>
  <si>
    <t>Microbot Offensive Self-Destruct</t>
  </si>
  <si>
    <t>Cost multiplier only</t>
  </si>
  <si>
    <t>Self-Maintenance Enhancement (basic)</t>
  </si>
  <si>
    <t>Self-Maintenance Enhancement (improved)</t>
  </si>
  <si>
    <t>Self-Maintenance Enhancement (enhanced)</t>
  </si>
  <si>
    <t>Self-Maintenance Enhancement (advanced)</t>
  </si>
  <si>
    <t>Fixed Android base armour dsiplay to a space in Cell A7</t>
  </si>
  <si>
    <t>Recon</t>
  </si>
  <si>
    <t>Stealth</t>
  </si>
  <si>
    <t>Limited language, Security/0</t>
  </si>
  <si>
    <t>Limited Friend or Foe, Security/1</t>
  </si>
  <si>
    <t>Intelligent Interface, Expert/1, Security/1</t>
  </si>
  <si>
    <t>Intellect Interface, Expert/2, Security/2</t>
  </si>
  <si>
    <t>Near sentient, Expert/3, Security/3</t>
  </si>
  <si>
    <t>Conscious Intelligence, Security/3</t>
  </si>
  <si>
    <t>Cost/Slot</t>
  </si>
  <si>
    <r>
      <t xml:space="preserve">New Armour cost value in cell P7: old: =IF(B7&gt;-1,XLOOKUP($O$2,Armour[TL],Armour[Cost]*P5*B7,,,),-P5*0.2) 
new: =IF(B7&gt;-1,XLOOKUP($O$2,Armour[TL],-Armour[Cost/Slot]*E7,,,),-P5*0.1)  </t>
    </r>
    <r>
      <rPr>
        <sz val="9"/>
        <color rgb="FFFF0000"/>
        <rFont val="Calibri"/>
        <family val="2"/>
        <scheme val="minor"/>
      </rPr>
      <t>(retrofitted via Global Search and Replace)</t>
    </r>
  </si>
  <si>
    <t>Fixed Cell B98 to include any skills from Default Suite options</t>
  </si>
  <si>
    <t>Initial "Public" release. Removed Drone Control Interface (enhanced)</t>
  </si>
  <si>
    <t>Size0</t>
  </si>
  <si>
    <t>1</t>
  </si>
  <si>
    <t>Type the name of the robot's worksheet tab in Column B of the spreadsheet</t>
  </si>
  <si>
    <t>Known Limitations:</t>
  </si>
  <si>
    <t xml:space="preserve">Installed Weapons Section: This section requires manual entry of weapons and their properties. Weapons should have a mount installed in the Additional Options section </t>
  </si>
  <si>
    <t>Size 0 robots have no error checking for the number of slotted options installed. TL ÷ 2 (round down) are allowed, including Size 0 weapons (limited to 0.5 kg) and their mounts</t>
  </si>
  <si>
    <t>Add a row to the existing table. This should auto-populate formulas in the new row, mostly with '#REF'</t>
  </si>
  <si>
    <t>Summary values should appear unless rows have been manually added to the robot's worksheet tab.</t>
  </si>
  <si>
    <t>Support for Small (Size 0) robots. Include Size 0 Manipulators by changing Size to 1 in cells B19-B26. Fixed cost of Self-Repairing Chassis. Updated Summary worksheet formulas</t>
  </si>
  <si>
    <t>Size 0 weapons mounts are not supported and should be manually entered with the weapon in the Weapons section. Weapon and Mount counts as 2 slotted items.</t>
  </si>
  <si>
    <t>2 Bug Fixes: All robots were receiving the 0 Slot size granted to Size 0 robots to allowed slotted items. Size 0 were getting percentage slotted items for 0 Slots.</t>
  </si>
  <si>
    <t>v 1.51</t>
  </si>
  <si>
    <t>Standard Skill/Software Packages</t>
  </si>
  <si>
    <t>Adjusted Skills/Capability</t>
  </si>
  <si>
    <t>Cost w/Discount</t>
  </si>
  <si>
    <t>Discount</t>
  </si>
  <si>
    <t>Sig Digits</t>
  </si>
  <si>
    <t>Standard Design</t>
  </si>
  <si>
    <t>turret</t>
  </si>
  <si>
    <t>all</t>
  </si>
  <si>
    <t>naval</t>
  </si>
  <si>
    <t>Cost Without Discount</t>
  </si>
  <si>
    <t>Version</t>
  </si>
  <si>
    <t>Description</t>
  </si>
  <si>
    <t>sensors</t>
  </si>
  <si>
    <t>Advanced Pilot Brain</t>
  </si>
  <si>
    <t>comms</t>
  </si>
  <si>
    <t>robotics</t>
  </si>
  <si>
    <t>Basic Pilot Brain</t>
  </si>
  <si>
    <t>Advanced Engineer Droid</t>
  </si>
  <si>
    <t>Advanced Admin Droid</t>
  </si>
  <si>
    <t>Basic Gunner Droid</t>
  </si>
  <si>
    <t>Enhanced Gunner Droid</t>
  </si>
  <si>
    <t>Advanced Gunner Droid</t>
  </si>
  <si>
    <t>Enhanced Pilot Brain</t>
  </si>
  <si>
    <t>Improved Pilot Brain</t>
  </si>
  <si>
    <t>1 avatar</t>
  </si>
  <si>
    <t>2 avatars</t>
  </si>
  <si>
    <t>4 avatars</t>
  </si>
  <si>
    <t>8 avatars</t>
  </si>
  <si>
    <t>Avatar Receiver</t>
  </si>
  <si>
    <t>Medical Chamber Option: Species-specific add-on</t>
  </si>
  <si>
    <t>Add race:</t>
  </si>
  <si>
    <t>Enhanced Engineer Droid</t>
  </si>
  <si>
    <t>Enhanced Admin Droid</t>
  </si>
  <si>
    <t>Basic Admin Droid</t>
  </si>
  <si>
    <t>Improved Admin Droid</t>
  </si>
  <si>
    <t>Improved Engineer Droid</t>
  </si>
  <si>
    <t>Basic Engineer Droid</t>
  </si>
  <si>
    <t>Basic Mechanic Droid</t>
  </si>
  <si>
    <t>Improved Mechanic Droid</t>
  </si>
  <si>
    <t>Enhanced Mechanic Droid</t>
  </si>
  <si>
    <t>Basic Steward Droid</t>
  </si>
  <si>
    <t>Basic Medic Droid</t>
  </si>
  <si>
    <t>Enhanced Medic Droid</t>
  </si>
  <si>
    <t>Advanced Medic Droid</t>
  </si>
  <si>
    <t>Improved Steward Droid</t>
  </si>
  <si>
    <t>Enhanced Steward Droid</t>
  </si>
  <si>
    <t>Advanced Steward Droid</t>
  </si>
  <si>
    <t>Improved Gunner Droid</t>
  </si>
  <si>
    <t>Improved Medic Droid</t>
  </si>
  <si>
    <t>spacecraft/small craft</t>
  </si>
  <si>
    <t>Advanced Mechanic Droid</t>
  </si>
  <si>
    <t>Basic Broker Droid</t>
  </si>
  <si>
    <t>Improved Broker Droid</t>
  </si>
  <si>
    <t>Enhanced Broker Droid</t>
  </si>
  <si>
    <t>Advanced Broker Droid</t>
  </si>
  <si>
    <t>Advanced Plus Broker Droid</t>
  </si>
  <si>
    <t>Advanced Engineer Plus Droid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</si>
</sst>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+0;\-0"/>
    <numFmt numFmtId="165" formatCode="0_);\(0\)"/>
    <numFmt numFmtId="166" formatCode="0_);[Red]\(0\)"/>
  </numFmts>
  <fonts count="11" x14ac:knownFonts="1"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 style="medium">
        <color indexed="64"/>
      </top>
      <bottom/>
      <diagonal/>
    </border>
    <border>
      <left/>
      <right style="thin">
        <color theme="1" tint="0.499984740745262"/>
      </right>
      <top/>
      <bottom style="thin">
        <color theme="0" tint="-0.24994659260841701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medium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49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/>
    <xf numFmtId="10" fontId="0" fillId="0" borderId="0" xfId="0" applyNumberFormat="1"/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1" fillId="0" borderId="0" xfId="0" applyFont="1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quotePrefix="1" applyNumberFormat="1" applyAlignment="1">
      <alignment horizontal="left"/>
    </xf>
    <xf numFmtId="0" fontId="0" fillId="0" borderId="0" xfId="0" applyAlignment="1">
      <alignment horizontal="right"/>
    </xf>
    <xf numFmtId="0" fontId="0" fillId="3" borderId="4" xfId="0" applyFill="1" applyBorder="1" applyAlignment="1">
      <alignment horizontal="left"/>
    </xf>
    <xf numFmtId="0" fontId="0" fillId="0" borderId="2" xfId="0" applyBorder="1"/>
    <xf numFmtId="0" fontId="0" fillId="3" borderId="3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0" borderId="0" xfId="0" applyNumberFormat="1"/>
    <xf numFmtId="0" fontId="0" fillId="0" borderId="5" xfId="0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0" fillId="2" borderId="1" xfId="0" applyFill="1" applyBorder="1"/>
    <xf numFmtId="0" fontId="0" fillId="0" borderId="5" xfId="0" applyBorder="1"/>
    <xf numFmtId="0" fontId="0" fillId="3" borderId="7" xfId="0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0" xfId="0" quotePrefix="1"/>
    <xf numFmtId="0" fontId="0" fillId="2" borderId="13" xfId="0" applyFill="1" applyBorder="1" applyAlignment="1">
      <alignment horizontal="left"/>
    </xf>
    <xf numFmtId="164" fontId="0" fillId="2" borderId="10" xfId="0" applyNumberForma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164" fontId="0" fillId="0" borderId="0" xfId="0" applyNumberFormat="1" applyAlignment="1">
      <alignment horizontal="center"/>
    </xf>
    <xf numFmtId="0" fontId="1" fillId="3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165" fontId="1" fillId="3" borderId="7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3" borderId="19" xfId="0" applyFill="1" applyBorder="1" applyAlignment="1">
      <alignment horizontal="center"/>
    </xf>
    <xf numFmtId="0" fontId="4" fillId="4" borderId="0" xfId="0" applyFont="1" applyFill="1"/>
    <xf numFmtId="0" fontId="4" fillId="4" borderId="5" xfId="0" applyFon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0" borderId="5" xfId="0" applyNumberFormat="1" applyBorder="1"/>
    <xf numFmtId="0" fontId="0" fillId="2" borderId="25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2" borderId="30" xfId="0" applyFill="1" applyBorder="1" applyAlignment="1">
      <alignment horizontal="center"/>
    </xf>
    <xf numFmtId="0" fontId="0" fillId="2" borderId="4" xfId="0" applyFill="1" applyBorder="1"/>
    <xf numFmtId="165" fontId="1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0" fontId="4" fillId="4" borderId="31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0" fillId="3" borderId="36" xfId="0" applyFill="1" applyBorder="1" applyAlignment="1">
      <alignment horizontal="right"/>
    </xf>
    <xf numFmtId="0" fontId="0" fillId="3" borderId="3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9" xfId="0" applyFill="1" applyBorder="1"/>
    <xf numFmtId="0" fontId="0" fillId="3" borderId="1" xfId="0" applyFill="1" applyBorder="1"/>
    <xf numFmtId="0" fontId="0" fillId="3" borderId="4" xfId="0" applyFill="1" applyBorder="1" applyAlignment="1">
      <alignment horizontal="center"/>
    </xf>
    <xf numFmtId="164" fontId="0" fillId="3" borderId="37" xfId="0" applyNumberForma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38" xfId="0" applyFont="1" applyFill="1" applyBorder="1"/>
    <xf numFmtId="0" fontId="1" fillId="5" borderId="38" xfId="0" applyFont="1" applyFill="1" applyBorder="1" applyAlignment="1">
      <alignment horizontal="center"/>
    </xf>
    <xf numFmtId="0" fontId="1" fillId="5" borderId="40" xfId="0" applyFont="1" applyFill="1" applyBorder="1"/>
    <xf numFmtId="0" fontId="1" fillId="5" borderId="41" xfId="0" applyFont="1" applyFill="1" applyBorder="1" applyAlignment="1">
      <alignment horizontal="center"/>
    </xf>
    <xf numFmtId="0" fontId="0" fillId="5" borderId="42" xfId="0" applyFill="1" applyBorder="1"/>
    <xf numFmtId="0" fontId="0" fillId="5" borderId="40" xfId="0" applyFill="1" applyBorder="1"/>
    <xf numFmtId="0" fontId="1" fillId="5" borderId="41" xfId="0" applyFont="1" applyFill="1" applyBorder="1"/>
    <xf numFmtId="0" fontId="1" fillId="5" borderId="42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4" fillId="4" borderId="45" xfId="0" applyFont="1" applyFill="1" applyBorder="1"/>
    <xf numFmtId="0" fontId="0" fillId="0" borderId="45" xfId="0" applyBorder="1"/>
    <xf numFmtId="0" fontId="0" fillId="0" borderId="46" xfId="0" applyBorder="1" applyAlignment="1">
      <alignment horizontal="center"/>
    </xf>
    <xf numFmtId="0" fontId="0" fillId="3" borderId="43" xfId="0" applyFill="1" applyBorder="1" applyAlignment="1">
      <alignment horizontal="left"/>
    </xf>
    <xf numFmtId="0" fontId="1" fillId="5" borderId="20" xfId="0" applyFont="1" applyFill="1" applyBorder="1" applyAlignment="1">
      <alignment horizontal="center"/>
    </xf>
    <xf numFmtId="0" fontId="1" fillId="5" borderId="48" xfId="0" applyFont="1" applyFill="1" applyBorder="1"/>
    <xf numFmtId="0" fontId="1" fillId="5" borderId="38" xfId="0" applyFont="1" applyFill="1" applyBorder="1" applyAlignment="1">
      <alignment horizontal="right"/>
    </xf>
    <xf numFmtId="0" fontId="0" fillId="2" borderId="27" xfId="0" applyFill="1" applyBorder="1" applyAlignment="1">
      <alignment horizontal="left"/>
    </xf>
    <xf numFmtId="164" fontId="0" fillId="2" borderId="49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0" fontId="0" fillId="2" borderId="51" xfId="0" applyFill="1" applyBorder="1" applyAlignment="1">
      <alignment horizontal="left"/>
    </xf>
    <xf numFmtId="0" fontId="4" fillId="4" borderId="52" xfId="0" applyFont="1" applyFill="1" applyBorder="1" applyAlignment="1">
      <alignment horizontal="center"/>
    </xf>
    <xf numFmtId="164" fontId="0" fillId="2" borderId="53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164" fontId="0" fillId="3" borderId="54" xfId="0" applyNumberFormat="1" applyFill="1" applyBorder="1" applyAlignment="1">
      <alignment horizontal="center"/>
    </xf>
    <xf numFmtId="0" fontId="0" fillId="3" borderId="53" xfId="0" applyFill="1" applyBorder="1"/>
    <xf numFmtId="0" fontId="0" fillId="5" borderId="5" xfId="0" applyFill="1" applyBorder="1"/>
    <xf numFmtId="0" fontId="0" fillId="5" borderId="55" xfId="0" applyFill="1" applyBorder="1"/>
    <xf numFmtId="0" fontId="0" fillId="5" borderId="57" xfId="0" applyFill="1" applyBorder="1"/>
    <xf numFmtId="0" fontId="0" fillId="5" borderId="56" xfId="0" applyFill="1" applyBorder="1"/>
    <xf numFmtId="0" fontId="0" fillId="5" borderId="58" xfId="0" applyFill="1" applyBorder="1"/>
    <xf numFmtId="0" fontId="0" fillId="5" borderId="59" xfId="0" applyFill="1" applyBorder="1"/>
    <xf numFmtId="0" fontId="0" fillId="3" borderId="3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37" xfId="0" applyFill="1" applyBorder="1"/>
    <xf numFmtId="0" fontId="0" fillId="3" borderId="54" xfId="0" applyFill="1" applyBorder="1"/>
    <xf numFmtId="0" fontId="0" fillId="5" borderId="56" xfId="0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9" fontId="0" fillId="0" borderId="0" xfId="1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0" fillId="3" borderId="74" xfId="0" applyFill="1" applyBorder="1"/>
    <xf numFmtId="0" fontId="6" fillId="0" borderId="75" xfId="0" applyFont="1" applyBorder="1"/>
    <xf numFmtId="0" fontId="6" fillId="0" borderId="75" xfId="0" applyFont="1" applyBorder="1" applyAlignment="1">
      <alignment horizontal="center"/>
    </xf>
    <xf numFmtId="0" fontId="5" fillId="0" borderId="75" xfId="0" applyFont="1" applyBorder="1"/>
    <xf numFmtId="0" fontId="6" fillId="0" borderId="75" xfId="0" applyFont="1" applyBorder="1" applyAlignment="1">
      <alignment vertical="top"/>
    </xf>
    <xf numFmtId="0" fontId="4" fillId="4" borderId="0" xfId="0" applyFont="1" applyFill="1" applyAlignment="1">
      <alignment horizontal="center"/>
    </xf>
    <xf numFmtId="0" fontId="9" fillId="0" borderId="79" xfId="0" applyFont="1" applyBorder="1"/>
    <xf numFmtId="0" fontId="9" fillId="0" borderId="80" xfId="0" applyFont="1" applyBorder="1"/>
    <xf numFmtId="0" fontId="9" fillId="0" borderId="81" xfId="0" applyFont="1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1" fillId="5" borderId="40" xfId="0" applyFont="1" applyFill="1" applyBorder="1" applyAlignment="1">
      <alignment horizontal="left"/>
    </xf>
    <xf numFmtId="0" fontId="0" fillId="0" borderId="0" xfId="0" quotePrefix="1" applyAlignment="1">
      <alignment horizontal="left"/>
    </xf>
    <xf numFmtId="0" fontId="1" fillId="0" borderId="5" xfId="0" applyFont="1" applyBorder="1" applyAlignment="1">
      <alignment horizontal="right"/>
    </xf>
    <xf numFmtId="0" fontId="0" fillId="0" borderId="0" xfId="0" applyAlignment="1">
      <alignment wrapText="1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right" vertical="center"/>
    </xf>
    <xf numFmtId="2" fontId="1" fillId="0" borderId="0" xfId="0" applyNumberFormat="1" applyFont="1" applyAlignment="1">
      <alignment vertical="center"/>
    </xf>
    <xf numFmtId="3" fontId="0" fillId="0" borderId="0" xfId="0" applyNumberFormat="1"/>
    <xf numFmtId="3" fontId="1" fillId="5" borderId="38" xfId="0" applyNumberFormat="1" applyFont="1" applyFill="1" applyBorder="1"/>
    <xf numFmtId="3" fontId="0" fillId="3" borderId="7" xfId="0" applyNumberFormat="1" applyFill="1" applyBorder="1"/>
    <xf numFmtId="3" fontId="0" fillId="3" borderId="1" xfId="0" applyNumberFormat="1" applyFill="1" applyBorder="1"/>
    <xf numFmtId="3" fontId="0" fillId="3" borderId="53" xfId="0" applyNumberFormat="1" applyFill="1" applyBorder="1"/>
    <xf numFmtId="3" fontId="0" fillId="3" borderId="29" xfId="0" applyNumberFormat="1" applyFill="1" applyBorder="1"/>
    <xf numFmtId="3" fontId="0" fillId="3" borderId="47" xfId="0" applyNumberFormat="1" applyFill="1" applyBorder="1"/>
    <xf numFmtId="3" fontId="0" fillId="2" borderId="4" xfId="0" applyNumberFormat="1" applyFill="1" applyBorder="1"/>
    <xf numFmtId="3" fontId="0" fillId="2" borderId="1" xfId="0" applyNumberFormat="1" applyFill="1" applyBorder="1"/>
    <xf numFmtId="0" fontId="0" fillId="2" borderId="18" xfId="0" applyFill="1" applyBorder="1" applyAlignment="1">
      <alignment horizontal="left"/>
    </xf>
    <xf numFmtId="165" fontId="5" fillId="0" borderId="85" xfId="0" applyNumberFormat="1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3" fontId="1" fillId="5" borderId="86" xfId="0" applyNumberFormat="1" applyFont="1" applyFill="1" applyBorder="1"/>
    <xf numFmtId="3" fontId="0" fillId="3" borderId="87" xfId="0" applyNumberFormat="1" applyFill="1" applyBorder="1"/>
    <xf numFmtId="3" fontId="5" fillId="0" borderId="85" xfId="0" applyNumberFormat="1" applyFont="1" applyBorder="1" applyAlignment="1">
      <alignment horizontal="center"/>
    </xf>
    <xf numFmtId="0" fontId="5" fillId="3" borderId="75" xfId="0" applyFont="1" applyFill="1" applyBorder="1" applyAlignment="1">
      <alignment horizontal="center"/>
    </xf>
    <xf numFmtId="2" fontId="0" fillId="0" borderId="0" xfId="0" applyNumberFormat="1"/>
    <xf numFmtId="3" fontId="0" fillId="3" borderId="75" xfId="0" applyNumberFormat="1" applyFill="1" applyBorder="1" applyAlignment="1">
      <alignment horizontal="right"/>
    </xf>
    <xf numFmtId="9" fontId="5" fillId="2" borderId="85" xfId="0" applyNumberFormat="1" applyFont="1" applyFill="1" applyBorder="1" applyAlignment="1">
      <alignment horizontal="center"/>
    </xf>
    <xf numFmtId="1" fontId="5" fillId="2" borderId="85" xfId="0" applyNumberFormat="1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3" borderId="95" xfId="0" applyFill="1" applyBorder="1" applyAlignment="1">
      <alignment horizontal="left"/>
    </xf>
    <xf numFmtId="164" fontId="0" fillId="3" borderId="4" xfId="0" applyNumberFormat="1" applyFill="1" applyBorder="1" applyAlignment="1">
      <alignment horizontal="center"/>
    </xf>
    <xf numFmtId="164" fontId="0" fillId="3" borderId="97" xfId="0" applyNumberFormat="1" applyFill="1" applyBorder="1" applyAlignment="1">
      <alignment horizontal="center"/>
    </xf>
    <xf numFmtId="0" fontId="6" fillId="0" borderId="85" xfId="0" applyFont="1" applyBorder="1" applyAlignment="1">
      <alignment vertical="center"/>
    </xf>
    <xf numFmtId="0" fontId="0" fillId="2" borderId="18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3" fillId="5" borderId="3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60" xfId="0" applyFont="1" applyFill="1" applyBorder="1" applyAlignment="1">
      <alignment horizontal="center"/>
    </xf>
    <xf numFmtId="0" fontId="0" fillId="5" borderId="61" xfId="0" applyFill="1" applyBorder="1" applyAlignment="1">
      <alignment horizontal="right"/>
    </xf>
    <xf numFmtId="0" fontId="0" fillId="5" borderId="55" xfId="0" applyFill="1" applyBorder="1" applyAlignment="1">
      <alignment horizontal="right"/>
    </xf>
    <xf numFmtId="0" fontId="1" fillId="0" borderId="71" xfId="0" applyFont="1" applyBorder="1" applyAlignment="1">
      <alignment horizontal="right"/>
    </xf>
    <xf numFmtId="0" fontId="1" fillId="0" borderId="72" xfId="0" applyFont="1" applyBorder="1" applyAlignment="1">
      <alignment horizontal="right"/>
    </xf>
    <xf numFmtId="0" fontId="0" fillId="5" borderId="62" xfId="0" applyFill="1" applyBorder="1" applyAlignment="1">
      <alignment horizontal="right"/>
    </xf>
    <xf numFmtId="0" fontId="0" fillId="5" borderId="56" xfId="0" applyFill="1" applyBorder="1" applyAlignment="1">
      <alignment horizontal="right"/>
    </xf>
    <xf numFmtId="0" fontId="0" fillId="0" borderId="69" xfId="0" applyBorder="1"/>
    <xf numFmtId="0" fontId="0" fillId="0" borderId="70" xfId="0" applyBorder="1"/>
    <xf numFmtId="0" fontId="5" fillId="0" borderId="76" xfId="0" applyFont="1" applyBorder="1" applyAlignment="1">
      <alignment horizontal="left" wrapText="1"/>
    </xf>
    <xf numFmtId="0" fontId="5" fillId="0" borderId="77" xfId="0" applyFont="1" applyBorder="1" applyAlignment="1">
      <alignment horizontal="left" wrapText="1"/>
    </xf>
    <xf numFmtId="0" fontId="5" fillId="0" borderId="78" xfId="0" applyFont="1" applyBorder="1" applyAlignment="1">
      <alignment horizontal="left" wrapText="1"/>
    </xf>
    <xf numFmtId="0" fontId="0" fillId="5" borderId="62" xfId="0" applyFill="1" applyBorder="1"/>
    <xf numFmtId="0" fontId="0" fillId="5" borderId="56" xfId="0" applyFill="1" applyBorder="1"/>
    <xf numFmtId="0" fontId="0" fillId="5" borderId="65" xfId="0" applyFill="1" applyBorder="1"/>
    <xf numFmtId="0" fontId="5" fillId="0" borderId="76" xfId="0" applyFont="1" applyBorder="1" applyAlignment="1">
      <alignment wrapText="1"/>
    </xf>
    <xf numFmtId="0" fontId="5" fillId="0" borderId="77" xfId="0" applyFont="1" applyBorder="1" applyAlignment="1">
      <alignment wrapText="1"/>
    </xf>
    <xf numFmtId="0" fontId="5" fillId="0" borderId="78" xfId="0" applyFont="1" applyBorder="1" applyAlignment="1">
      <alignment wrapText="1"/>
    </xf>
    <xf numFmtId="0" fontId="1" fillId="5" borderId="40" xfId="0" applyFont="1" applyFill="1" applyBorder="1" applyAlignment="1">
      <alignment horizontal="center"/>
    </xf>
    <xf numFmtId="0" fontId="0" fillId="5" borderId="61" xfId="0" applyFill="1" applyBorder="1"/>
    <xf numFmtId="0" fontId="0" fillId="5" borderId="55" xfId="0" applyFill="1" applyBorder="1"/>
    <xf numFmtId="0" fontId="0" fillId="5" borderId="63" xfId="0" applyFill="1" applyBorder="1"/>
    <xf numFmtId="0" fontId="0" fillId="5" borderId="64" xfId="0" applyFill="1" applyBorder="1"/>
    <xf numFmtId="0" fontId="0" fillId="5" borderId="58" xfId="0" applyFill="1" applyBorder="1"/>
    <xf numFmtId="0" fontId="0" fillId="2" borderId="1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0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1" fillId="5" borderId="39" xfId="0" applyFont="1" applyFill="1" applyBorder="1" applyAlignment="1">
      <alignment horizontal="left"/>
    </xf>
    <xf numFmtId="0" fontId="1" fillId="5" borderId="15" xfId="0" applyFont="1" applyFill="1" applyBorder="1" applyAlignment="1">
      <alignment horizontal="left"/>
    </xf>
    <xf numFmtId="0" fontId="1" fillId="5" borderId="60" xfId="0" applyFont="1" applyFill="1" applyBorder="1" applyAlignment="1">
      <alignment horizontal="left"/>
    </xf>
    <xf numFmtId="49" fontId="0" fillId="2" borderId="89" xfId="0" applyNumberFormat="1" applyFill="1" applyBorder="1" applyAlignment="1">
      <alignment vertical="top"/>
    </xf>
    <xf numFmtId="49" fontId="0" fillId="2" borderId="88" xfId="0" applyNumberFormat="1" applyFill="1" applyBorder="1" applyAlignment="1">
      <alignment vertical="top"/>
    </xf>
    <xf numFmtId="49" fontId="0" fillId="2" borderId="90" xfId="0" applyNumberFormat="1" applyFill="1" applyBorder="1" applyAlignment="1">
      <alignment vertical="top"/>
    </xf>
    <xf numFmtId="49" fontId="0" fillId="2" borderId="93" xfId="0" applyNumberFormat="1" applyFill="1" applyBorder="1" applyAlignment="1">
      <alignment vertical="top"/>
    </xf>
    <xf numFmtId="49" fontId="0" fillId="2" borderId="0" xfId="0" applyNumberFormat="1" applyFill="1" applyAlignment="1">
      <alignment vertical="top"/>
    </xf>
    <xf numFmtId="49" fontId="0" fillId="2" borderId="94" xfId="0" applyNumberFormat="1" applyFill="1" applyBorder="1" applyAlignment="1">
      <alignment vertical="top"/>
    </xf>
    <xf numFmtId="49" fontId="0" fillId="2" borderId="91" xfId="0" applyNumberFormat="1" applyFill="1" applyBorder="1" applyAlignment="1">
      <alignment vertical="top"/>
    </xf>
    <xf numFmtId="49" fontId="0" fillId="2" borderId="2" xfId="0" applyNumberFormat="1" applyFill="1" applyBorder="1" applyAlignment="1">
      <alignment vertical="top"/>
    </xf>
    <xf numFmtId="49" fontId="0" fillId="2" borderId="92" xfId="0" applyNumberFormat="1" applyFill="1" applyBorder="1" applyAlignment="1">
      <alignment vertical="top"/>
    </xf>
    <xf numFmtId="0" fontId="0" fillId="5" borderId="68" xfId="0" applyFill="1" applyBorder="1" applyAlignment="1">
      <alignment horizontal="right"/>
    </xf>
    <xf numFmtId="0" fontId="0" fillId="5" borderId="67" xfId="0" applyFill="1" applyBorder="1" applyAlignment="1">
      <alignment horizontal="right"/>
    </xf>
    <xf numFmtId="0" fontId="0" fillId="5" borderId="66" xfId="0" applyFill="1" applyBorder="1"/>
    <xf numFmtId="0" fontId="0" fillId="5" borderId="67" xfId="0" applyFill="1" applyBorder="1"/>
    <xf numFmtId="0" fontId="6" fillId="0" borderId="85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76" xfId="0" applyFont="1" applyBorder="1" applyAlignment="1">
      <alignment vertical="center" wrapText="1"/>
    </xf>
    <xf numFmtId="0" fontId="5" fillId="0" borderId="77" xfId="0" applyFont="1" applyBorder="1" applyAlignment="1">
      <alignment vertical="center" wrapText="1"/>
    </xf>
    <xf numFmtId="0" fontId="5" fillId="0" borderId="78" xfId="0" applyFont="1" applyBorder="1" applyAlignment="1">
      <alignment vertical="center" wrapText="1"/>
    </xf>
    <xf numFmtId="0" fontId="0" fillId="2" borderId="44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0" fillId="2" borderId="16" xfId="0" applyFill="1" applyBorder="1"/>
    <xf numFmtId="0" fontId="0" fillId="2" borderId="26" xfId="0" applyFill="1" applyBorder="1"/>
    <xf numFmtId="0" fontId="0" fillId="2" borderId="16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71" xfId="0" applyFill="1" applyBorder="1"/>
    <xf numFmtId="0" fontId="0" fillId="2" borderId="72" xfId="0" applyFill="1" applyBorder="1"/>
    <xf numFmtId="0" fontId="0" fillId="2" borderId="11" xfId="0" applyFill="1" applyBorder="1"/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5" fillId="0" borderId="89" xfId="0" applyFont="1" applyBorder="1" applyAlignment="1">
      <alignment vertical="center" wrapText="1"/>
    </xf>
    <xf numFmtId="0" fontId="5" fillId="0" borderId="88" xfId="0" applyFont="1" applyBorder="1" applyAlignment="1">
      <alignment vertical="center" wrapText="1"/>
    </xf>
    <xf numFmtId="0" fontId="5" fillId="0" borderId="90" xfId="0" applyFont="1" applyBorder="1" applyAlignment="1">
      <alignment vertical="center" wrapText="1"/>
    </xf>
    <xf numFmtId="0" fontId="5" fillId="0" borderId="9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92" xfId="0" applyFont="1" applyBorder="1" applyAlignment="1">
      <alignment vertical="center" wrapText="1"/>
    </xf>
    <xf numFmtId="0" fontId="0" fillId="2" borderId="18" xfId="0" applyFill="1" applyBorder="1" applyAlignment="1">
      <alignment horizontal="left" wrapText="1"/>
    </xf>
    <xf numFmtId="0" fontId="5" fillId="0" borderId="89" xfId="0" applyFont="1" applyBorder="1" applyAlignment="1">
      <alignment wrapText="1"/>
    </xf>
    <xf numFmtId="0" fontId="5" fillId="0" borderId="88" xfId="0" applyFont="1" applyBorder="1" applyAlignment="1">
      <alignment wrapText="1"/>
    </xf>
    <xf numFmtId="0" fontId="5" fillId="0" borderId="90" xfId="0" applyFont="1" applyBorder="1" applyAlignment="1">
      <alignment wrapText="1"/>
    </xf>
    <xf numFmtId="0" fontId="5" fillId="0" borderId="9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92" xfId="0" applyFont="1" applyBorder="1" applyAlignment="1">
      <alignment wrapText="1"/>
    </xf>
    <xf numFmtId="0" fontId="6" fillId="0" borderId="8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2" borderId="96" xfId="0" applyFill="1" applyBorder="1"/>
  </cellXfs>
  <cellStyles count="2">
    <cellStyle name="Normal" xfId="0" builtinId="0"/>
    <cellStyle name="Percent" xfId="1" builtinId="5"/>
  </cellStyles>
  <dxfs count="24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3" formatCode="#,##0"/>
    </dxf>
    <dxf>
      <numFmt numFmtId="3" formatCode="#,##0"/>
    </dxf>
    <dxf>
      <alignment horizontal="general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theme="0"/>
        </right>
        <top style="thin">
          <color theme="0"/>
        </top>
        <bottom/>
      </border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left" vertical="bottom" textRotation="0" wrapText="0" indent="0" justifyLastLine="0" shrinkToFit="0" readingOrder="0"/>
    </dxf>
    <dxf>
      <numFmt numFmtId="14" formatCode="0.00%"/>
    </dxf>
    <dxf>
      <numFmt numFmtId="14" formatCode="0.00%"/>
    </dxf>
    <dxf>
      <numFmt numFmtId="164" formatCode="\+0;\-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eetMetadata" Target="metadata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3C1FCB9-C871-4366-9075-148458B097F6}" name="Table4" displayName="Table4" ref="A1:N3" totalsRowShown="0">
  <autoFilter ref="A1:N3" xr:uid="{8A17ACDB-869A-4A1C-9F1E-2CFEB9C908B0}"/>
  <tableColumns count="14">
    <tableColumn id="1" xr3:uid="{714966E6-9966-4FC3-B64F-C6F89D999B18}" name="Robot Name">
      <calculatedColumnFormula>INDIRECT(Table4[[#This Row],[Tab]]&amp;"!B2")</calculatedColumnFormula>
    </tableColumn>
    <tableColumn id="2" xr3:uid="{060AB2FE-92F4-4ABA-9E53-B8066FA38A40}" name="Tab"/>
    <tableColumn id="3" xr3:uid="{AC77EDA1-4E76-48C1-B11E-64DDA2F55597}" name="Size">
      <calculatedColumnFormula>INDIRECT(Table4[[#This Row],[Tab]]&amp;"!B4")</calculatedColumnFormula>
    </tableColumn>
    <tableColumn id="4" xr3:uid="{2F496C0F-2FAF-485E-99BB-32EEF3ED154F}" name="1">
      <calculatedColumnFormula>IF(LEFT(INDIRECT(Table4[[#This Row],[Tab]]&amp;"!A1"),1)="R",INDIRECT(Table4[[#This Row],[Tab]]&amp;"!M11"),INDIRECT(Table4[[#This Row],[Tab]]&amp;"!M9"))</calculatedColumnFormula>
    </tableColumn>
    <tableColumn id="5" xr3:uid="{8EA2442C-6311-4FC8-B1C0-50EE2B66B647}" name="Locomotion">
      <calculatedColumnFormula>INDIRECT(Table4[[#This Row],[Tab]]&amp;"!B5")</calculatedColumnFormula>
    </tableColumn>
    <tableColumn id="6" xr3:uid="{B65ED2CF-1634-47B5-8976-FA2B3BF25E60}" name="Speed">
      <calculatedColumnFormula>IF(LEFT(INDIRECT(Table4[[#This Row],[Tab]]&amp;"!A1"),1)="R",INDIRECT(Table4[[#This Row],[Tab]]&amp;"!J14"),INDIRECT(Table4[[#This Row],[Tab]]&amp;"!J12"))</calculatedColumnFormula>
    </tableColumn>
    <tableColumn id="7" xr3:uid="{40E00BD2-ED28-4858-BAC4-6DBCDFA737B8}" name="TL">
      <calculatedColumnFormula>INDIRECT(Table4[[#This Row],[Tab]]&amp;"!O2")</calculatedColumnFormula>
    </tableColumn>
    <tableColumn id="8" xr3:uid="{640F0E41-B9A9-4E53-8C8A-F5995EC566DC}" name="Cost">
      <calculatedColumnFormula>IF(LEFT(INDIRECT(Table4[[#This Row],[Tab]]&amp;"!A1"),1)="R",INDIRECT(Table4[[#This Row],[Tab]]&amp;"!F97"),INDIRECT(Table4[[#This Row],[Tab]]&amp;"!F54"))</calculatedColumnFormula>
    </tableColumn>
    <tableColumn id="9" xr3:uid="{2320CFC6-64B8-4825-AB86-A9F7E00945A1}" name="Brain">
      <calculatedColumnFormula>IF(LEFT(INDIRECT(Table4[[#This Row],[Tab]]&amp;"!A1"),1)="R",INDIRECT(Table4[[#This Row],[Tab]]&amp;"!B103"),INDIRECT(Table4[[#This Row],[Tab]]&amp;"!B60"))</calculatedColumnFormula>
    </tableColumn>
    <tableColumn id="10" xr3:uid="{8AF609B7-74BB-4D42-8E5C-9B45814B964B}" name="Reference">
      <calculatedColumnFormula>INDIRECT(Table4[[#This Row],[Tab]]&amp;"!I2")</calculatedColumnFormula>
    </tableColumn>
    <tableColumn id="11" xr3:uid="{6ED4307F-318D-4B55-8B1D-BF70A2F7927E}" name="Agility">
      <calculatedColumnFormula>INDIRECT(Table4[[#This Row],[Tab]]&amp;"!B13")</calculatedColumnFormula>
    </tableColumn>
    <tableColumn id="12" xr3:uid="{5430B161-4524-4B4E-AA75-FDF9FA50F519}" name="PP">
      <calculatedColumnFormula>INDIRECT(Table4[[#This Row],[Tab]]&amp;"!B9")</calculatedColumnFormula>
    </tableColumn>
    <tableColumn id="13" xr3:uid="{DEEE3A83-76F8-43A9-82BC-B9F39DD3CF5D}" name="End Final">
      <calculatedColumnFormula>IF(LEFT(INDIRECT(Table4[[#This Row],[Tab]]&amp;"!A1"),1)="R",INDIRECT(Table4[[#This Row],[Tab]]&amp;"!K14"),INDIRECT(Table4[[#This Row],[Tab]]&amp;"!K12"))</calculatedColumnFormula>
    </tableColumn>
    <tableColumn id="15" xr3:uid="{C9764110-51DE-4325-9311-650C59B4E244}" name="Ath(end)">
      <calculatedColumnFormula>IF(LEFT(INDIRECT(Table4[[#This Row],[Tab]]&amp;"!A1"),1)="R",INDIRECT(Table4[[#This Row],[Tab]]&amp;"!O9"),INDIRECT(Table4[[#This Row],[Tab]]&amp;"!O8"))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A1996F-647F-4E20-96DE-50DDCED60ACF}" name="Size" displayName="Size" ref="B2:F11" totalsRowShown="0">
  <autoFilter ref="B2:F11" xr:uid="{44C5762D-34CD-4FB7-8C3F-C7BF93EB7577}"/>
  <tableColumns count="5">
    <tableColumn id="1" xr3:uid="{4721F3E7-2129-450A-B958-39644170B909}" name="Size"/>
    <tableColumn id="2" xr3:uid="{ACA7BF34-22C2-46BC-9584-F9E7119B4803}" name="Basic Cost"/>
    <tableColumn id="3" xr3:uid="{7C813DB0-908E-4C1C-ABA4-679AF7D9776C}" name="Base Slots"/>
    <tableColumn id="4" xr3:uid="{8F4FD135-9541-47F2-A87F-25DB93A11154}" name="Base hits"/>
    <tableColumn id="5" xr3:uid="{B41D2364-B568-43E0-A34E-BC38FB686972}" name="Hit DM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4D7221-2C83-4DCD-8AE2-7A8D42FCEAC3}" name="Locomotion" displayName="Locomotion" ref="H2:N13" totalsRowShown="0">
  <autoFilter ref="H2:N13" xr:uid="{F74E06A7-D714-4124-86D7-1FD730B6E5E7}"/>
  <tableColumns count="7">
    <tableColumn id="1" xr3:uid="{E05C5B04-515A-475F-A887-94D19E1D9B7F}" name="Locomotion"/>
    <tableColumn id="2" xr3:uid="{13DFE147-88BA-43EC-A255-9A354A59C974}" name="TL"/>
    <tableColumn id="3" xr3:uid="{2FD8D4EB-E3C7-47C1-8EC2-248D1363313D}" name="Cost X"/>
    <tableColumn id="4" xr3:uid="{37387D8E-0E37-4481-8669-42AAC4C005C4}" name="Agility" dataDxfId="245"/>
    <tableColumn id="5" xr3:uid="{61560283-DFB8-489A-B9C1-CFEA0DC34B16}" name="Traits"/>
    <tableColumn id="8" xr3:uid="{F307FE93-6B45-4CFF-B16E-E6B580EB207D}" name="High Speed"/>
    <tableColumn id="6" xr3:uid="{71A002F1-EDDA-4666-AF07-3755FFBAF99F}" name="Endurance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12F917B-EB89-4738-B00F-BFEC7B6E508B}" name="Armour" displayName="Armour" ref="Q2:W17" totalsRowShown="0">
  <autoFilter ref="Q2:W17" xr:uid="{465EB8CC-9063-432A-95FC-DF660F4F641F}"/>
  <tableColumns count="7">
    <tableColumn id="1" xr3:uid="{331BC823-B968-45D6-83F0-A4E0C5E3FB45}" name="TL"/>
    <tableColumn id="2" xr3:uid="{876F2402-7EF2-4A35-9915-CB72B6C009A8}" name="Base"/>
    <tableColumn id="3" xr3:uid="{BC7FCA67-A8D8-48B1-A001-EF6B555961F1}" name="Max"/>
    <tableColumn id="4" xr3:uid="{9B3CA223-B3DF-4B36-A028-DB0E9AB3F9E2}" name="Cost" dataDxfId="244"/>
    <tableColumn id="5" xr3:uid="{35438DE4-9A7D-42E6-A315-E6F98379009C}" name="Slots" dataDxfId="243"/>
    <tableColumn id="6" xr3:uid="{274C9FEC-AF0D-478A-B00D-73BA8475B4CE}" name="Max/slot"/>
    <tableColumn id="7" xr3:uid="{08E7BFF4-48EE-45A3-8FD0-FFB1A15352D3}" name="Cost/Slot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2A04DAA-353C-4CB7-98C9-1B3D596146BD}" name="Speedbands" displayName="Speedbands" ref="Y2:AB13" totalsRowShown="0">
  <autoFilter ref="Y2:AB13" xr:uid="{3FB42EEE-FA0F-4264-B9F4-5A091153F521}"/>
  <tableColumns count="4">
    <tableColumn id="1" xr3:uid="{AEB8D0A5-0AB7-49B5-A13C-0D04272B72B8}" name="Speed Band"/>
    <tableColumn id="2" xr3:uid="{E871D941-CF7C-4ED9-92C9-166EC2803E92}" name="Number"/>
    <tableColumn id="4" xr3:uid="{7FC5565B-042B-4C7F-B8CD-14078E3DD348}" name="Low"/>
    <tableColumn id="3" xr3:uid="{7AF58C0B-485B-4B3D-B5F6-4F7EF39285CF}" name="High" dataDxfId="242"/>
  </tableColumns>
  <tableStyleInfo name="TableStyleMedium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1F8147F-F3A8-404A-AC00-E3BC1874E2AB}" name="Brains" displayName="Brains" ref="B2:I19" totalsRowShown="0">
  <autoFilter ref="B2:I19" xr:uid="{E6B224F7-2CC4-499D-A917-6EA607C540F7}"/>
  <tableColumns count="8">
    <tableColumn id="1" xr3:uid="{ADD79A9B-4C80-4112-AA63-0795E6FC4C9E}" name="Programming/Control"/>
    <tableColumn id="2" xr3:uid="{CF954C47-4953-4F70-A583-0B86EAE12231}" name="TL"/>
    <tableColumn id="3" xr3:uid="{9D8806BB-BBDC-4F86-A979-3107BF3DF9B6}" name="Computer/X"/>
    <tableColumn id="4" xr3:uid="{39E76E61-EC3E-4820-B9C7-9B3903423198}" name="Cost"/>
    <tableColumn id="5" xr3:uid="{3530A719-678A-4B90-B9A1-37097C640CE9}" name="Base INT"/>
    <tableColumn id="6" xr3:uid="{EC644665-51F8-4B65-AD3D-FD0296334680}" name="Skill DM"/>
    <tableColumn id="8" xr3:uid="{AFE1B516-09FD-4535-A62D-FF6F1D829F36}" name="Skill"/>
    <tableColumn id="7" xr3:uid="{07725C7C-DBFA-49D4-80A7-1A44952C7F67}" name="Base capability (built-in no bandwidth, cumulative)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727B57C-3618-4A3C-B8DD-FC045E52A9BC}" name="Bandwidth" displayName="Bandwidth" ref="K2:O16" totalsRowShown="0">
  <autoFilter ref="K2:O16" xr:uid="{685B670F-CBD4-4F01-B956-819D16289B7B}"/>
  <tableColumns count="5">
    <tableColumn id="1" xr3:uid="{44834E7D-A6EA-4C0F-8EFB-40C641347B92}" name="Minimum Base Brain"/>
    <tableColumn id="2" xr3:uid="{7AD733C2-0497-4214-901F-3915923B1654}" name="TL"/>
    <tableColumn id="5" xr3:uid="{0E4369FF-EA23-49DD-9E55-3B56DF3E433E}" name="Slots"/>
    <tableColumn id="3" xr3:uid="{15ADFC0E-00CA-4434-80ED-6C7081576A2E}" name="Bandwidth"/>
    <tableColumn id="4" xr3:uid="{D737530F-9EEF-4648-9A6D-53018F03FF36}" name="Cost"/>
  </tableColumns>
  <tableStyleInfo name="TableStyleMedium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C372E2-F073-4FBE-8CB3-AB2B99E64EF7}" name="MicrobotBrains" displayName="MicrobotBrains" ref="B23:I29" totalsRowShown="0" headerRowDxfId="241" dataDxfId="239" headerRowBorderDxfId="240" tableBorderDxfId="238" totalsRowBorderDxfId="237">
  <autoFilter ref="B23:I29" xr:uid="{02BA4621-FB91-4749-BDDE-E19DA918A85D}"/>
  <tableColumns count="8">
    <tableColumn id="1" xr3:uid="{AED81455-EAD0-4E34-85F5-5AAAE901B5E9}" name="Programming/Control" dataDxfId="236"/>
    <tableColumn id="2" xr3:uid="{01DD58E2-B600-461B-9E5D-36682E64C4EB}" name="TL" dataDxfId="235"/>
    <tableColumn id="3" xr3:uid="{4FDE8790-1B0B-4F76-9CD9-2AE60F5334B9}" name="Computer/X" dataDxfId="234"/>
    <tableColumn id="4" xr3:uid="{E90DF888-3DA3-4374-B202-650E8EE1AC31}" name="Cost" dataDxfId="233"/>
    <tableColumn id="5" xr3:uid="{F3B15BFF-DBEA-4F06-A4BB-F5732A3A6655}" name="Base INT" dataDxfId="232"/>
    <tableColumn id="6" xr3:uid="{3E2C9B21-0ED6-4582-BB74-D910052B9503}" name="Skill DM" dataDxfId="231"/>
    <tableColumn id="7" xr3:uid="{55EC0D50-D3EE-4CF0-81A2-AE55EEA271C0}" name="Skill" dataDxfId="230"/>
    <tableColumn id="8" xr3:uid="{8B8C0E68-4791-4D51-9E1C-1B04624BFEBF}" name="Base capability (built-in no bandwidth, cumulative)" dataDxfId="229"/>
  </tableColumns>
  <tableStyleInfo name="TableStyleMedium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0CCB4EE-386C-44B5-9401-206287B4B1AC}" name="OptionsTable" displayName="OptionsTable" ref="B2:O251" totalsRowShown="0">
  <autoFilter ref="B2:O251" xr:uid="{4D68936E-940B-4103-B191-1CD129662FEA}"/>
  <sortState xmlns:xlrd2="http://schemas.microsoft.com/office/spreadsheetml/2017/richdata2" ref="B3:O251">
    <sortCondition ref="O9:O251"/>
    <sortCondition ref="C9:C251"/>
  </sortState>
  <tableColumns count="14">
    <tableColumn id="1" xr3:uid="{3C9C6F76-6C0F-4ACB-B9BB-75F17ECDB811}" name="Category"/>
    <tableColumn id="2" xr3:uid="{3573FBDE-EB60-4C6A-9C2B-9AA806EF7A8F}" name="Name"/>
    <tableColumn id="3" xr3:uid="{D71FED42-D7AD-4C5E-BC3D-940AB122B511}" name="Level"/>
    <tableColumn id="4" xr3:uid="{7677DA72-94CE-413D-BF55-A4B39656D61C}" name="TL"/>
    <tableColumn id="8" xr3:uid="{287DE420-AB85-441B-93B1-4EFCBA691E2E}" name="Slots"/>
    <tableColumn id="12" xr3:uid="{3CA389BC-10C1-4B0F-B085-3FE0071D8C50}" name="pSlot"/>
    <tableColumn id="14" xr3:uid="{4587ED33-05F5-4C74-92E2-DA3F1AE09B7A}" name="Size0"/>
    <tableColumn id="5" xr3:uid="{A03F22A6-FE17-4F70-B145-39E6BB46CEED}" name="Notes" dataDxfId="228"/>
    <tableColumn id="10" xr3:uid="{F53DF95C-AEC9-4FBB-9CB9-6605A8AAABD6}" name="Trait" dataDxfId="227"/>
    <tableColumn id="9" xr3:uid="{BA91A20B-9165-489B-89F4-8339BBCC9887}" name="Skill" dataDxfId="226"/>
    <tableColumn id="6" xr3:uid="{4C35465A-348A-4FC6-8B8F-7DC71C659E0B}" name="Cost" dataDxfId="225"/>
    <tableColumn id="11" xr3:uid="{2C7A360E-FF9D-490D-916F-F6A18746BF11}" name="xS"/>
    <tableColumn id="7" xr3:uid="{757ACB8C-1A59-4C28-8CE7-3540B190845A}" name="DS" dataDxfId="224"/>
    <tableColumn id="13" xr3:uid="{8407332B-258D-4A45-9021-86C00988AAC3}" name="Sort"/>
  </tableColumns>
  <tableStyleInfo name="TableStyleMedium1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08E6389-1CE1-41F0-BE42-20FD1CB0C210}" name="PrimitiveBrain" displayName="PrimitiveBrain" ref="B2:G7" totalsRowShown="0">
  <autoFilter ref="B2:G7" xr:uid="{BF4F7267-F8CD-455A-AD3D-D54B601A46A0}"/>
  <tableColumns count="6">
    <tableColumn id="1" xr3:uid="{A9EB37E1-9ABD-462F-97F6-ABBEBEE20086}" name="Name"/>
    <tableColumn id="2" xr3:uid="{9E21070A-4801-4F23-A3D9-BA912048CE6F}" name="TL"/>
    <tableColumn id="3" xr3:uid="{37BE206B-079A-450F-A78A-51636AB854E3}" name="Bandwidth"/>
    <tableColumn id="6" xr3:uid="{03D74A03-9183-40A3-A655-6CAFA19B99AC}" name="Characteristic"/>
    <tableColumn id="4" xr3:uid="{B9D61DE6-5B46-4661-8263-71B29876B022}" name="Skill"/>
    <tableColumn id="5" xr3:uid="{C9194352-E516-4488-BA97-508D81B3C025}" name="Cr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B301466-97FA-474A-8C27-E32E2A2457CC}" name="BasicBrain" displayName="BasicBrain" ref="B10:G19" totalsRowShown="0">
  <autoFilter ref="B10:G19" xr:uid="{F68762F7-F269-4285-8966-CA6C984DFAB7}"/>
  <tableColumns count="6">
    <tableColumn id="1" xr3:uid="{94F42CCF-0E75-46C4-B68E-B5F3102A4191}" name="Name"/>
    <tableColumn id="2" xr3:uid="{E7632D86-479A-4D39-9CA6-3A52809452BD}" name="TL"/>
    <tableColumn id="3" xr3:uid="{9ED31DA0-5FD5-4499-9A5E-5D9C3B3F78A1}" name="Bandwidth"/>
    <tableColumn id="6" xr3:uid="{8F30477A-A06B-48E9-B58C-B2A4D69D367A}" name="Characteristic"/>
    <tableColumn id="4" xr3:uid="{22FAE637-EC63-4774-B85D-E87CC062CD0D}" name="Skill"/>
    <tableColumn id="5" xr3:uid="{9EDF4D5C-DB5A-4788-BA69-7CF365A2590D}" name="Cr"/>
  </tableColumns>
  <tableStyleInfo name="TableStyleMedium1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931F688-2B9D-4428-9E5D-A6B240A0DE82}" name="HunterKillerBrain" displayName="HunterKillerBrain" ref="B22:G25" totalsRowShown="0">
  <autoFilter ref="B22:G25" xr:uid="{C072E972-64D7-4991-9139-511127EF1625}"/>
  <tableColumns count="6">
    <tableColumn id="1" xr3:uid="{662148AD-4AB6-4414-B8D2-5E5033AC5AFA}" name="Name"/>
    <tableColumn id="2" xr3:uid="{D062F531-C0B2-43E7-89F4-152F909A134F}" name="TL"/>
    <tableColumn id="3" xr3:uid="{3913DA7E-024C-4B42-87A5-67D499CF4751}" name="Bandwidth"/>
    <tableColumn id="6" xr3:uid="{088BAF96-71CB-41C3-BD97-82A9936F756C}" name="Characteristic"/>
    <tableColumn id="4" xr3:uid="{8EAD4EEA-2CF8-43E3-8D28-9673736D6548}" name="Skill"/>
    <tableColumn id="5" xr3:uid="{BD97CE02-9985-48B9-A647-2594D478BB74}" name="Cr"/>
  </tableColumns>
  <tableStyleInfo name="TableStyleMedium1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32862AC-0426-4006-BAD1-9312FE49BF23}" name="StandardBrain" displayName="StandardBrain" ref="B28:G68" totalsRowShown="0">
  <autoFilter ref="B28:G68" xr:uid="{EFD5EFA2-EB93-4DE9-B259-3958F683EFA0}"/>
  <tableColumns count="6">
    <tableColumn id="1" xr3:uid="{97F88853-4C99-46D4-A9B6-FCFFD596ACDF}" name="Name"/>
    <tableColumn id="2" xr3:uid="{6ECA7953-C746-4517-A681-CD6E784D31F7}" name="TL"/>
    <tableColumn id="3" xr3:uid="{DA644117-D95D-4A3A-8CFA-C6D460D4C82B}" name="Bandwidth"/>
    <tableColumn id="6" xr3:uid="{0E001A2F-6DB6-4D35-87A7-0A0C4A4CDE61}" name="Characteristic"/>
    <tableColumn id="4" xr3:uid="{7BCEACE7-5F18-492A-803C-F543FEC9E5CB}" name="Skill"/>
    <tableColumn id="5" xr3:uid="{97F0C234-D4C4-407B-BFEA-D3F36A8ACC23}" name="Cr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C5EC5-B45F-4277-8AE1-F5E2B1EEE7D6}">
  <sheetPr>
    <tabColor theme="0" tint="-0.499984740745262"/>
  </sheetPr>
  <dimension ref="A1:B49"/>
  <sheetViews>
    <sheetView workbookViewId="0">
      <selection activeCell="A46" sqref="A46"/>
    </sheetView>
  </sheetViews>
  <sheetFormatPr defaultRowHeight="11.65" x14ac:dyDescent="0.35"/>
  <cols>
    <col min="1" max="1" width="25.1640625" customWidth="1"/>
  </cols>
  <sheetData>
    <row r="1" spans="1:1" x14ac:dyDescent="0.35">
      <c r="A1" s="7" t="s">
        <v>663</v>
      </c>
    </row>
    <row r="2" spans="1:1" x14ac:dyDescent="0.35">
      <c r="A2" s="7" t="s">
        <v>665</v>
      </c>
    </row>
    <row r="3" spans="1:1" x14ac:dyDescent="0.35">
      <c r="A3" t="s">
        <v>689</v>
      </c>
    </row>
    <row r="4" spans="1:1" x14ac:dyDescent="0.35">
      <c r="A4" t="s">
        <v>664</v>
      </c>
    </row>
    <row r="5" spans="1:1" x14ac:dyDescent="0.35">
      <c r="A5" t="s">
        <v>721</v>
      </c>
    </row>
    <row r="6" spans="1:1" x14ac:dyDescent="0.35">
      <c r="A6" t="s">
        <v>687</v>
      </c>
    </row>
    <row r="7" spans="1:1" x14ac:dyDescent="0.35">
      <c r="A7" t="s">
        <v>722</v>
      </c>
    </row>
    <row r="8" spans="1:1" x14ac:dyDescent="0.35">
      <c r="A8" t="s">
        <v>686</v>
      </c>
    </row>
    <row r="9" spans="1:1" x14ac:dyDescent="0.35">
      <c r="A9" t="s">
        <v>688</v>
      </c>
    </row>
    <row r="10" spans="1:1" x14ac:dyDescent="0.35">
      <c r="A10" t="s">
        <v>690</v>
      </c>
    </row>
    <row r="11" spans="1:1" x14ac:dyDescent="0.35">
      <c r="A11" t="s">
        <v>723</v>
      </c>
    </row>
    <row r="13" spans="1:1" x14ac:dyDescent="0.35">
      <c r="A13" s="7" t="s">
        <v>666</v>
      </c>
    </row>
    <row r="14" spans="1:1" x14ac:dyDescent="0.35">
      <c r="A14" t="s">
        <v>724</v>
      </c>
    </row>
    <row r="15" spans="1:1" x14ac:dyDescent="0.35">
      <c r="A15" t="s">
        <v>691</v>
      </c>
    </row>
    <row r="16" spans="1:1" x14ac:dyDescent="0.35">
      <c r="A16" t="s">
        <v>692</v>
      </c>
    </row>
    <row r="17" spans="1:1" x14ac:dyDescent="0.35">
      <c r="A17" t="s">
        <v>725</v>
      </c>
    </row>
    <row r="18" spans="1:1" x14ac:dyDescent="0.35">
      <c r="A18" t="s">
        <v>684</v>
      </c>
    </row>
    <row r="19" spans="1:1" x14ac:dyDescent="0.35">
      <c r="A19" t="s">
        <v>669</v>
      </c>
    </row>
    <row r="20" spans="1:1" x14ac:dyDescent="0.35">
      <c r="A20" t="s">
        <v>667</v>
      </c>
    </row>
    <row r="21" spans="1:1" x14ac:dyDescent="0.35">
      <c r="A21" t="s">
        <v>693</v>
      </c>
    </row>
    <row r="22" spans="1:1" x14ac:dyDescent="0.35">
      <c r="A22" t="s">
        <v>694</v>
      </c>
    </row>
    <row r="24" spans="1:1" x14ac:dyDescent="0.35">
      <c r="A24" s="7" t="s">
        <v>668</v>
      </c>
    </row>
    <row r="25" spans="1:1" x14ac:dyDescent="0.35">
      <c r="A25" t="s">
        <v>695</v>
      </c>
    </row>
    <row r="26" spans="1:1" x14ac:dyDescent="0.35">
      <c r="A26" t="s">
        <v>696</v>
      </c>
    </row>
    <row r="27" spans="1:1" x14ac:dyDescent="0.35">
      <c r="A27" t="s">
        <v>697</v>
      </c>
    </row>
    <row r="28" spans="1:1" x14ac:dyDescent="0.35">
      <c r="A28" t="s">
        <v>698</v>
      </c>
    </row>
    <row r="30" spans="1:1" x14ac:dyDescent="0.35">
      <c r="A30" s="7" t="s">
        <v>670</v>
      </c>
    </row>
    <row r="31" spans="1:1" x14ac:dyDescent="0.35">
      <c r="A31" t="s">
        <v>781</v>
      </c>
    </row>
    <row r="32" spans="1:1" x14ac:dyDescent="0.35">
      <c r="A32" t="s">
        <v>777</v>
      </c>
    </row>
    <row r="33" spans="1:2" x14ac:dyDescent="0.35">
      <c r="A33" t="s">
        <v>782</v>
      </c>
    </row>
    <row r="35" spans="1:2" x14ac:dyDescent="0.35">
      <c r="A35" s="7" t="s">
        <v>671</v>
      </c>
      <c r="B35" s="7" t="s">
        <v>685</v>
      </c>
    </row>
    <row r="36" spans="1:2" x14ac:dyDescent="0.35">
      <c r="A36" s="7" t="s">
        <v>672</v>
      </c>
      <c r="B36" t="s">
        <v>674</v>
      </c>
    </row>
    <row r="37" spans="1:2" x14ac:dyDescent="0.35">
      <c r="A37" s="7" t="s">
        <v>673</v>
      </c>
      <c r="B37" t="s">
        <v>675</v>
      </c>
    </row>
    <row r="38" spans="1:2" x14ac:dyDescent="0.35">
      <c r="A38" s="7" t="s">
        <v>676</v>
      </c>
      <c r="B38" t="s">
        <v>681</v>
      </c>
    </row>
    <row r="39" spans="1:2" x14ac:dyDescent="0.35">
      <c r="A39" s="7" t="s">
        <v>677</v>
      </c>
      <c r="B39" t="s">
        <v>678</v>
      </c>
    </row>
    <row r="40" spans="1:2" x14ac:dyDescent="0.35">
      <c r="A40" s="7" t="s">
        <v>224</v>
      </c>
      <c r="B40" t="s">
        <v>679</v>
      </c>
    </row>
    <row r="41" spans="1:2" x14ac:dyDescent="0.35">
      <c r="A41" s="7" t="s">
        <v>65</v>
      </c>
      <c r="B41" t="s">
        <v>680</v>
      </c>
    </row>
    <row r="42" spans="1:2" x14ac:dyDescent="0.35">
      <c r="A42" s="7" t="s">
        <v>475</v>
      </c>
      <c r="B42" t="s">
        <v>682</v>
      </c>
    </row>
    <row r="43" spans="1:2" x14ac:dyDescent="0.35">
      <c r="A43" s="7" t="s">
        <v>116</v>
      </c>
      <c r="B43" t="s">
        <v>683</v>
      </c>
    </row>
    <row r="44" spans="1:2" x14ac:dyDescent="0.35">
      <c r="A44" s="7" t="s">
        <v>301</v>
      </c>
      <c r="B44" t="s">
        <v>754</v>
      </c>
    </row>
    <row r="45" spans="1:2" x14ac:dyDescent="0.35">
      <c r="A45" s="7"/>
    </row>
    <row r="46" spans="1:2" x14ac:dyDescent="0.35">
      <c r="A46" s="7" t="s">
        <v>778</v>
      </c>
      <c r="B46" s="7" t="s">
        <v>786</v>
      </c>
    </row>
    <row r="47" spans="1:2" x14ac:dyDescent="0.35">
      <c r="A47" t="s">
        <v>779</v>
      </c>
    </row>
    <row r="48" spans="1:2" x14ac:dyDescent="0.35">
      <c r="A48" t="s">
        <v>780</v>
      </c>
    </row>
    <row r="49" spans="1:1" x14ac:dyDescent="0.35">
      <c r="A49" t="s">
        <v>784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ABAC-63A7-4386-8D27-7865C3300C6D}">
  <sheetPr>
    <tabColor theme="5"/>
  </sheetPr>
  <dimension ref="A1:N3"/>
  <sheetViews>
    <sheetView workbookViewId="0">
      <selection activeCell="F19" sqref="F19"/>
    </sheetView>
  </sheetViews>
  <sheetFormatPr defaultRowHeight="11.65" x14ac:dyDescent="0.35"/>
  <cols>
    <col min="1" max="1" width="35" bestFit="1" customWidth="1"/>
    <col min="2" max="2" width="16.83203125" bestFit="1" customWidth="1"/>
    <col min="3" max="3" width="7.25" bestFit="1" customWidth="1"/>
    <col min="4" max="4" width="8.4140625" bestFit="1" customWidth="1"/>
    <col min="5" max="5" width="14.1640625" bestFit="1" customWidth="1"/>
    <col min="6" max="6" width="9.25" bestFit="1" customWidth="1"/>
    <col min="7" max="7" width="5.58203125" bestFit="1" customWidth="1"/>
    <col min="8" max="8" width="10.83203125" bestFit="1" customWidth="1"/>
    <col min="9" max="9" width="29.1640625" bestFit="1" customWidth="1"/>
    <col min="10" max="10" width="30.58203125" bestFit="1" customWidth="1"/>
    <col min="13" max="13" width="26.25" bestFit="1" customWidth="1"/>
    <col min="14" max="14" width="23" bestFit="1" customWidth="1"/>
  </cols>
  <sheetData>
    <row r="1" spans="1:14" x14ac:dyDescent="0.35">
      <c r="A1" t="s">
        <v>37</v>
      </c>
      <c r="B1" t="s">
        <v>597</v>
      </c>
      <c r="C1" t="s">
        <v>17</v>
      </c>
      <c r="D1" t="s">
        <v>776</v>
      </c>
      <c r="E1" t="s">
        <v>23</v>
      </c>
      <c r="F1" t="s">
        <v>319</v>
      </c>
      <c r="G1" t="s">
        <v>4</v>
      </c>
      <c r="H1" t="s">
        <v>5</v>
      </c>
      <c r="I1" t="s">
        <v>599</v>
      </c>
      <c r="J1" t="s">
        <v>598</v>
      </c>
      <c r="K1" t="s">
        <v>24</v>
      </c>
      <c r="L1" t="s">
        <v>624</v>
      </c>
      <c r="M1" t="s">
        <v>636</v>
      </c>
      <c r="N1" t="s">
        <v>625</v>
      </c>
    </row>
    <row r="2" spans="1:14" x14ac:dyDescent="0.35">
      <c r="A2">
        <f ca="1">INDIRECT(Table4[[#This Row],[Tab]]&amp;"!B2")</f>
        <v>0</v>
      </c>
      <c r="B2" t="s">
        <v>676</v>
      </c>
      <c r="C2">
        <f ca="1">INDIRECT(Table4[[#This Row],[Tab]]&amp;"!B4")</f>
        <v>5</v>
      </c>
      <c r="D2">
        <f ca="1">IF(LEFT(INDIRECT(Table4[[#This Row],[Tab]]&amp;"!A1"),1)="R",INDIRECT(Table4[[#This Row],[Tab]]&amp;"!M11"),INDIRECT(Table4[[#This Row],[Tab]]&amp;"!M9"))</f>
        <v>20</v>
      </c>
      <c r="E2" t="str">
        <f ca="1">INDIRECT(Table4[[#This Row],[Tab]]&amp;"!B5")</f>
        <v>Walker</v>
      </c>
      <c r="F2">
        <f ca="1">IF(LEFT(INDIRECT(Table4[[#This Row],[Tab]]&amp;"!A1"),1)="R",INDIRECT(Table4[[#This Row],[Tab]]&amp;"!J14"),INDIRECT(Table4[[#This Row],[Tab]]&amp;"!J12"))</f>
        <v>5</v>
      </c>
      <c r="G2">
        <f ca="1">INDIRECT(Table4[[#This Row],[Tab]]&amp;"!O2")</f>
        <v>12</v>
      </c>
      <c r="H2">
        <f ca="1">IF(LEFT(INDIRECT(Table4[[#This Row],[Tab]]&amp;"!A1"),1)="R",INDIRECT(Table4[[#This Row],[Tab]]&amp;"!F97"),INDIRECT(Table4[[#This Row],[Tab]]&amp;"!F54"))</f>
        <v>0</v>
      </c>
      <c r="I2">
        <f ca="1">IF(LEFT(INDIRECT(Table4[[#This Row],[Tab]]&amp;"!A1"),1)="R",INDIRECT(Table4[[#This Row],[Tab]]&amp;"!B103"),INDIRECT(Table4[[#This Row],[Tab]]&amp;"!B60"))</f>
        <v>0</v>
      </c>
      <c r="J2" t="str">
        <f ca="1">INDIRECT(Table4[[#This Row],[Tab]]&amp;"!I2")</f>
        <v>Standard Design</v>
      </c>
      <c r="K2">
        <f ca="1">INDIRECT(Table4[[#This Row],[Tab]]&amp;"!B13")</f>
        <v>0</v>
      </c>
      <c r="L2">
        <f ca="1">INDIRECT(Table4[[#This Row],[Tab]]&amp;"!B9")</f>
        <v>0</v>
      </c>
      <c r="M2" t="str">
        <f ca="1">IF(LEFT(INDIRECT(Table4[[#This Row],[Tab]]&amp;"!A1"),1)="R",INDIRECT(Table4[[#This Row],[Tab]]&amp;"!K14"),INDIRECT(Table4[[#This Row],[Tab]]&amp;"!K12"))</f>
        <v>Final Endurance =  108 hours</v>
      </c>
      <c r="N2" t="str">
        <f ca="1">IF(LEFT(INDIRECT(Table4[[#This Row],[Tab]]&amp;"!A1"),1)="R",INDIRECT(Table4[[#This Row],[Tab]]&amp;"!O9"),INDIRECT(Table4[[#This Row],[Tab]]&amp;"!O8"))</f>
        <v/>
      </c>
    </row>
    <row r="3" spans="1:14" x14ac:dyDescent="0.35">
      <c r="A3">
        <f ca="1">INDIRECT(Table4[[#This Row],[Tab]]&amp;"!B2")</f>
        <v>0</v>
      </c>
      <c r="B3" t="s">
        <v>677</v>
      </c>
      <c r="C3">
        <f ca="1">INDIRECT(Table4[[#This Row],[Tab]]&amp;"!B4")</f>
        <v>0</v>
      </c>
      <c r="D3">
        <f ca="1">IF(LEFT(INDIRECT(Table4[[#This Row],[Tab]]&amp;"!A1"),1)="R",INDIRECT(Table4[[#This Row],[Tab]]&amp;"!M11"),INDIRECT(Table4[[#This Row],[Tab]]&amp;"!M9"))</f>
        <v>1</v>
      </c>
      <c r="E3" t="str">
        <f ca="1">INDIRECT(Table4[[#This Row],[Tab]]&amp;"!B5")</f>
        <v>Walker</v>
      </c>
      <c r="F3">
        <f ca="1">IF(LEFT(INDIRECT(Table4[[#This Row],[Tab]]&amp;"!A1"),1)="R",INDIRECT(Table4[[#This Row],[Tab]]&amp;"!J14"),INDIRECT(Table4[[#This Row],[Tab]]&amp;"!J12"))</f>
        <v>3</v>
      </c>
      <c r="G3">
        <f ca="1">INDIRECT(Table4[[#This Row],[Tab]]&amp;"!O2")</f>
        <v>12</v>
      </c>
      <c r="H3">
        <f ca="1">IF(LEFT(INDIRECT(Table4[[#This Row],[Tab]]&amp;"!A1"),1)="R",INDIRECT(Table4[[#This Row],[Tab]]&amp;"!F97"),INDIRECT(Table4[[#This Row],[Tab]]&amp;"!F54"))</f>
        <v>0</v>
      </c>
      <c r="I3">
        <f ca="1">IF(LEFT(INDIRECT(Table4[[#This Row],[Tab]]&amp;"!A1"),1)="R",INDIRECT(Table4[[#This Row],[Tab]]&amp;"!B103"),INDIRECT(Table4[[#This Row],[Tab]]&amp;"!B60"))</f>
        <v>0</v>
      </c>
      <c r="J3" t="str">
        <f ca="1">INDIRECT(Table4[[#This Row],[Tab]]&amp;"!I2")</f>
        <v>Standard Design</v>
      </c>
      <c r="K3">
        <f ca="1">INDIRECT(Table4[[#This Row],[Tab]]&amp;"!B13")</f>
        <v>0</v>
      </c>
      <c r="L3">
        <f ca="1">INDIRECT(Table4[[#This Row],[Tab]]&amp;"!B9")</f>
        <v>0</v>
      </c>
      <c r="M3" t="str">
        <f ca="1">IF(LEFT(INDIRECT(Table4[[#This Row],[Tab]]&amp;"!A1"),1)="R",INDIRECT(Table4[[#This Row],[Tab]]&amp;"!K14"),INDIRECT(Table4[[#This Row],[Tab]]&amp;"!K12"))</f>
        <v>Final Endurance =  108 hours</v>
      </c>
      <c r="N3" t="str">
        <f ca="1">IF(LEFT(INDIRECT(Table4[[#This Row],[Tab]]&amp;"!A1"),1)="R",INDIRECT(Table4[[#This Row],[Tab]]&amp;"!O9"),INDIRECT(Table4[[#This Row],[Tab]]&amp;"!O8"))</f>
        <v/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EF3C-0FCB-4342-B123-420B5F9C291B}">
  <sheetPr>
    <tabColor rgb="FF92D050"/>
  </sheetPr>
  <dimension ref="A1:Z110"/>
  <sheetViews>
    <sheetView workbookViewId="0">
      <pane ySplit="3" topLeftCell="A34" activePane="bottomLeft" state="frozen"/>
      <selection pane="bottomLeft" activeCell="B64" sqref="B64:D64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/>
      <c r="C2" s="160"/>
      <c r="D2" s="161"/>
      <c r="E2" s="36">
        <f>SUM(E5:E90)+E4</f>
        <v>16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9000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5</v>
      </c>
      <c r="E4" s="114">
        <f>_xlfn.XLOOKUP(B4,Size[Size],Size[Base Slots],,,)</f>
        <v>16</v>
      </c>
      <c r="F4" s="37">
        <f>B4+O2</f>
        <v>17</v>
      </c>
      <c r="G4" s="168" t="s">
        <v>299</v>
      </c>
      <c r="H4" s="168"/>
      <c r="I4" s="169"/>
      <c r="J4" s="108">
        <f>_xlfn.XLOOKUP(B4,Size[Size],Size[Base hits],,,)</f>
        <v>20</v>
      </c>
      <c r="K4" s="170" t="s">
        <v>727</v>
      </c>
      <c r="L4" s="171"/>
      <c r="M4" s="52">
        <f>_xlfn.XLOOKUP(B4,Size[Size],Size[Basic Cost],,,)</f>
        <v>1000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/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10000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>
        <f>B2</f>
        <v>0</v>
      </c>
      <c r="S6" s="143">
        <f>M11</f>
        <v>20</v>
      </c>
      <c r="T6" s="143" t="str">
        <f>B5</f>
        <v>Walker</v>
      </c>
      <c r="U6" s="143" t="str">
        <f>_xlfn.CONCAT(J14," m")</f>
        <v>5 m</v>
      </c>
      <c r="V6" s="144">
        <f>O2</f>
        <v>12</v>
      </c>
      <c r="W6" s="147">
        <f>P91</f>
        <v>10000</v>
      </c>
      <c r="X6" s="151">
        <f>IF(I2="Standard Design",0.1,0)</f>
        <v>0.1</v>
      </c>
      <c r="Y6" s="152">
        <v>2</v>
      </c>
      <c r="Z6" s="147">
        <f>FLOOR(P91*(1-X6),100)</f>
        <v>9000</v>
      </c>
    </row>
    <row r="7" spans="1:26" ht="12" customHeight="1" x14ac:dyDescent="0.4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40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118" t="s">
        <v>90</v>
      </c>
      <c r="S7" s="182" t="str">
        <f>_xlfn.CONCAT(O9,O13,O19:O28,O30:O34,O36:O57,O64,O69:O71,O73:O90)</f>
        <v xml:space="preserve">Athletics (strength) 1, Athletics (strength) 1, </v>
      </c>
      <c r="T7" s="183"/>
      <c r="U7" s="183"/>
      <c r="V7" s="183"/>
      <c r="W7" s="183"/>
      <c r="X7" s="183"/>
      <c r="Y7" s="183"/>
      <c r="Z7" s="184"/>
    </row>
    <row r="8" spans="1:26" ht="12" customHeight="1" x14ac:dyDescent="0.4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108</v>
      </c>
      <c r="K8" s="188" t="s">
        <v>64</v>
      </c>
      <c r="L8" s="189"/>
      <c r="M8" s="190"/>
      <c r="P8" s="136">
        <f>B8*0.5*P5</f>
        <v>0</v>
      </c>
      <c r="R8" s="115" t="s">
        <v>320</v>
      </c>
      <c r="S8" s="182" t="str">
        <f>_xlfn.CONCAT(A59," (",J59," ",N59,") ",A60," (",J60," ",N60,") ",A61," (",J61," ",N61,") ")</f>
        <v xml:space="preserve">none ( )  ( )  ( ) </v>
      </c>
      <c r="T8" s="183"/>
      <c r="U8" s="183"/>
      <c r="V8" s="183"/>
      <c r="W8" s="183"/>
      <c r="X8" s="183"/>
      <c r="Y8" s="183"/>
      <c r="Z8" s="184"/>
    </row>
    <row r="9" spans="1:26" ht="12" customHeight="1" x14ac:dyDescent="0.4">
      <c r="A9" s="92" t="s">
        <v>63</v>
      </c>
      <c r="B9" s="30">
        <v>0</v>
      </c>
      <c r="E9" s="114">
        <f>IF(B4&gt;0,-ROUNDUP(0.1*E4,0)*B9,-B9)</f>
        <v>0</v>
      </c>
      <c r="F9" s="37"/>
      <c r="G9" s="179" t="s">
        <v>302</v>
      </c>
      <c r="H9" s="179"/>
      <c r="I9" s="180"/>
      <c r="J9" s="51">
        <f>J8*(1+B9)</f>
        <v>108</v>
      </c>
      <c r="K9" s="181" t="s">
        <v>64</v>
      </c>
      <c r="L9" s="179"/>
      <c r="M9" s="180"/>
      <c r="O9" s="5" t="str">
        <f>IF(B9&gt;0,_xlfn.CONCAT("Athletics (endurance) ",B9,", "),"")</f>
        <v/>
      </c>
      <c r="P9" s="136">
        <f>-500*E9</f>
        <v>0</v>
      </c>
      <c r="R9" s="115" t="s">
        <v>49</v>
      </c>
      <c r="S9" s="182" t="str">
        <f>IF(COUNT(B19:B26)=0,"none",_xlfn.CONCAT(COUNT(B19:B26), " X (STR ",H19," DEX ",L19,")"))</f>
        <v>2 X (STR 9 DEX 7)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8" t="s">
        <v>35</v>
      </c>
      <c r="S10" s="176" t="str">
        <f>IF(B15,_xlfn.CONCAT(ROUND(J9*(1-B14/10),IF(B4=0,1,0))," (",ROUND(J9*(1-B14/10)/(4+IF(B16="No",0,LEFT(B16,1))),0),")", " hours"),_xlfn.CONCAT(ROUND(J9*(1-B14/10),IF(B4=0,1,0))," hours"))</f>
        <v>108 hours</v>
      </c>
      <c r="T10" s="177"/>
      <c r="U10" s="177"/>
      <c r="V10" s="177"/>
      <c r="W10" s="177"/>
      <c r="X10" s="177"/>
      <c r="Y10" s="177"/>
      <c r="Z10" s="178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20</v>
      </c>
      <c r="N11" s="24"/>
      <c r="O11" s="24"/>
      <c r="P11" s="135">
        <f>_xlfn.XLOOKUP(B5,Locomotion[Locomotion],Locomotion[Cost X])*50*B11</f>
        <v>0</v>
      </c>
      <c r="R11" s="118" t="s">
        <v>25</v>
      </c>
      <c r="S11" s="176" t="str">
        <f>_xlfn.CONCAT(N7,N5,N4,N15:N17,N30:N34,N36:N57,N67,N69:N70)</f>
        <v xml:space="preserve">Armour (+4), ATV, (idle), 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5" t="s">
        <v>321</v>
      </c>
      <c r="S12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None or Drone (INT 0)</v>
      </c>
      <c r="T12" s="183"/>
      <c r="U12" s="183"/>
      <c r="V12" s="183"/>
      <c r="W12" s="183"/>
      <c r="X12" s="183"/>
      <c r="Y12" s="183"/>
      <c r="Z12" s="184"/>
    </row>
    <row r="13" spans="1:26" ht="12" customHeight="1" x14ac:dyDescent="0.35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213" t="s">
        <v>475</v>
      </c>
      <c r="S13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(basic), Visual Spectrum Sensor, Voder Speaker, Wireless Data Link, , , , , , , , , , , , , , , , , , , , , </v>
      </c>
      <c r="T13" s="217"/>
      <c r="U13" s="217"/>
      <c r="V13" s="217"/>
      <c r="W13" s="217"/>
      <c r="X13" s="217"/>
      <c r="Y13" s="217"/>
      <c r="Z13" s="218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108 hours</v>
      </c>
      <c r="L14" s="5"/>
      <c r="M14" s="5"/>
      <c r="N14" s="5"/>
      <c r="P14" s="136">
        <f>B14*0.1*P5</f>
        <v>0</v>
      </c>
      <c r="R14" s="214"/>
      <c r="S14" s="216"/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5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</row>
    <row r="19" spans="1:26" ht="12" customHeight="1" x14ac:dyDescent="0.35">
      <c r="A19" s="92" t="s">
        <v>50</v>
      </c>
      <c r="B19" s="35">
        <v>5</v>
      </c>
      <c r="C19" s="60">
        <f t="shared" ref="C19:C26" si="0">IF(B19=0,0,B19*2-1)</f>
        <v>9</v>
      </c>
      <c r="D19" s="95">
        <f>ROUNDUP($O$2/2+1,0)</f>
        <v>7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18</v>
      </c>
      <c r="G19" s="16"/>
      <c r="H19" s="60">
        <f t="shared" ref="H19:H28" si="2">C19+G19</f>
        <v>9</v>
      </c>
      <c r="I19" s="61">
        <f t="shared" ref="I19:I28" si="3">IF(H19&gt;17,4,IF(H19&gt;14,3,IF(H19&gt;11,2,IF(H19&gt;8,1,IF(H19&gt;5,0,IF(H19&gt;2,-1,-2))))))</f>
        <v>1</v>
      </c>
      <c r="J19" s="53">
        <f t="shared" ref="J19:J28" si="4">$O$2+3</f>
        <v>15</v>
      </c>
      <c r="K19" s="16"/>
      <c r="L19" s="60">
        <f t="shared" ref="L19:L28" si="5">D19+K19</f>
        <v>7</v>
      </c>
      <c r="M19" s="61">
        <f>IF(L19&gt;20,5,IF(L19&gt;17,4,IF(L19&gt;14,3,IF(L19&gt;11,2,IF(L19&gt;8,1,IF(L19&gt;5,0,IF(L19&gt;2,-1,-2)))))))</f>
        <v>0</v>
      </c>
      <c r="O19" s="12" t="str">
        <f>IF(I19&gt;0,_xlfn.CONCAT("Athletics (strength) ",I19,", "),"")</f>
        <v xml:space="preserve">Athletics (strength) 1, </v>
      </c>
      <c r="P19" s="136">
        <f>IF((B19-$B$4)*100&gt;-0.2*$P$5,(B19-$B$4)*100,-0.2*$P$5)+B19*100*(G19)^2+B19*200*(K19)^2</f>
        <v>0</v>
      </c>
      <c r="R19" s="7" t="s">
        <v>798</v>
      </c>
    </row>
    <row r="20" spans="1:26" ht="12" customHeight="1" x14ac:dyDescent="0.35">
      <c r="A20" s="92" t="s">
        <v>51</v>
      </c>
      <c r="B20" s="35">
        <v>5</v>
      </c>
      <c r="C20" s="6">
        <f t="shared" si="0"/>
        <v>9</v>
      </c>
      <c r="D20" s="96">
        <f t="shared" ref="D20:D26" si="6">IF(B20=0,0,ROUNDUP($O$2/2+1,0))</f>
        <v>7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18</v>
      </c>
      <c r="G20" s="16"/>
      <c r="H20" s="6">
        <f t="shared" si="2"/>
        <v>9</v>
      </c>
      <c r="I20" s="21">
        <f t="shared" si="3"/>
        <v>1</v>
      </c>
      <c r="J20" s="53">
        <f t="shared" si="4"/>
        <v>15</v>
      </c>
      <c r="K20" s="16"/>
      <c r="L20" s="6">
        <f t="shared" si="5"/>
        <v>7</v>
      </c>
      <c r="M20" s="61">
        <f t="shared" ref="M20:M28" si="7">IF(L20&gt;20,5,IF(L20&gt;17,4,IF(L20&gt;14,3,IF(L20&gt;11,2,IF(L20&gt;8,1,IF(L20&gt;5,0,IF(L20&gt;2,-1,-2)))))))</f>
        <v>0</v>
      </c>
      <c r="O20" s="12" t="str">
        <f t="shared" ref="O20:O28" si="8">IF(I20&gt;0,_xlfn.CONCAT("Athletics (strength) ",I20,", "),"")</f>
        <v xml:space="preserve">Athletics (strength) 1, </v>
      </c>
      <c r="P20" s="136">
        <f>IF((B20-$B$4)*100&gt;-0.2*$P$5,(B20-$B$4)*100,-0.2*$P$5)+B20*100*(G20)^2+B20*200*(K20)^2</f>
        <v>0</v>
      </c>
      <c r="R20" s="200"/>
      <c r="S20" s="201"/>
      <c r="T20" s="201"/>
      <c r="U20" s="201"/>
      <c r="V20" s="201"/>
      <c r="W20" s="201"/>
      <c r="X20" s="201"/>
      <c r="Y20" s="201"/>
      <c r="Z20" s="202"/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15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3"/>
      <c r="S21" s="204"/>
      <c r="T21" s="204"/>
      <c r="U21" s="204"/>
      <c r="V21" s="204"/>
      <c r="W21" s="204"/>
      <c r="X21" s="204"/>
      <c r="Y21" s="204"/>
      <c r="Z21" s="205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15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15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15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15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15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15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15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463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7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/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0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/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0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/>
      </c>
      <c r="I37" s="194"/>
      <c r="J37" s="194"/>
      <c r="K37" s="43">
        <f>_xlfn.XLOOKUP(A37,OptionsTable[Name],OptionsTable[TL],,,)</f>
        <v>0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/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0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/>
      </c>
      <c r="I38" s="194"/>
      <c r="J38" s="194"/>
      <c r="K38" s="43">
        <f>_xlfn.XLOOKUP(A38,OptionsTable[Name],OptionsTable[TL],,,)</f>
        <v>0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/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1</v>
      </c>
      <c r="G39" s="57"/>
      <c r="H39" s="193" t="str">
        <f>IF(_xlfn.XLOOKUP(A39,OptionsTable[Name],OptionsTable[Notes],,,)="","",_xlfn.XLOOKUP(A39,OptionsTable[Name],OptionsTable[Notes],,,))</f>
        <v/>
      </c>
      <c r="I39" s="194"/>
      <c r="J39" s="194"/>
      <c r="K39" s="43">
        <f>_xlfn.XLOOKUP(A39,OptionsTable[Name],OptionsTable[TL],,,)</f>
        <v>0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/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0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0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600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0</v>
      </c>
      <c r="I64" s="31">
        <f>IF(H64&gt;17,4,IF(H64&gt;14,3,IF(H64&gt;11,2,IF(H64&gt;8,1,IF(H64&gt;5,0,IF(H64&gt;2,-1,-2))))))</f>
        <v>-2</v>
      </c>
      <c r="J64" s="1">
        <f>_xlfn.XLOOKUP(B64,Brains[Programming/Control],Brains[Computer/X],,,)</f>
        <v>0</v>
      </c>
      <c r="K64" s="43">
        <f>_xlfn.XLOOKUP(B64,Brains[Programming/Control],Brains[TL],,,)</f>
        <v>5</v>
      </c>
      <c r="L64">
        <f>_xlfn.XLOOKUP(B64,Brains[Programming/Control],Brains[Computer/X],,,)</f>
        <v>0</v>
      </c>
      <c r="M64" s="12" t="str">
        <f>_xlfn.XLOOKUP(B64,Brains[Programming/Control],Brains[Base capability (built-in no bandwidth, cumulative)],,,)</f>
        <v>none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26</v>
      </c>
      <c r="C65" s="192"/>
      <c r="D65" s="192"/>
      <c r="E65" s="39">
        <f>-_xlfn.XLOOKUP(B65,Bandwidth[Minimum Base Brain],Bandwidth[Slots],,,)</f>
        <v>0</v>
      </c>
      <c r="F65" s="37"/>
      <c r="K65" s="43">
        <f>_xlfn.XLOOKUP(B65,Bandwidth[Minimum Base Brain],Bandwidth[TL],,,)</f>
        <v>0</v>
      </c>
      <c r="L65">
        <f>_xlfn.XLOOKUP(B65,Bandwidth[Minimum Base Brain],Bandwidth[Bandwidth],,,)+L64</f>
        <v>0</v>
      </c>
      <c r="M65" t="s">
        <v>310</v>
      </c>
      <c r="P65" s="136">
        <f>_xlfn.XLOOKUP(B65,Bandwidth[Minimum Base Brain],Bandwidth[Cost],,,)</f>
        <v>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0</v>
      </c>
      <c r="I66" s="15">
        <f>IF(H66&gt;17,4,IF(H66&gt;14,3,IF(H66&gt;11,2,IF(H66&gt;8,1,IF(H66&gt;5,0,IF(H66&gt;2,-1,-2))))))</f>
        <v>-2</v>
      </c>
      <c r="K66" s="43"/>
      <c r="L66" s="55">
        <f>L65+F66</f>
        <v>0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0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117</v>
      </c>
      <c r="B73" s="225"/>
      <c r="C73" s="226"/>
      <c r="D73" s="57"/>
      <c r="E73" s="39"/>
      <c r="G73" s="59" t="str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/>
      </c>
      <c r="I73" s="58" t="str">
        <f>_xlfn.XLOOKUP(A73,StandardBrain[Name],StandardBrain[Characteristic],,,)</f>
        <v xml:space="preserve"> </v>
      </c>
      <c r="K73" s="43">
        <f>_xlfn.XLOOKUP(A73,StandardBrain[Name],StandardBrain[TL],,,)+D73</f>
        <v>0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/>
      </c>
      <c r="P73" s="138">
        <f>IF(AND(A73="Science ()",B73="all",D73&gt;0),(_xlfn.XLOOKUP(A73,StandardBrain[Name],StandardBrain[Cr],,,)*10^(D73))*8,IF(AND(B73="all",D73&gt;0),(_xlfn.XLOOKUP(A73,StandardBrain[Name],StandardBrain[Cr],,,)*10^(D73))*4,IF(A73="N/A",0,_xlfn.XLOOKUP(A73,StandardBrain[Name],StandardBrain[Cr],,,)*10^(D73))))</f>
        <v>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117</v>
      </c>
      <c r="B74" s="193"/>
      <c r="C74" s="227"/>
      <c r="D74" s="57"/>
      <c r="E74" s="39"/>
      <c r="G74" s="59" t="str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/>
      </c>
      <c r="I74" s="58" t="str">
        <f>_xlfn.XLOOKUP(A74,StandardBrain[Name],StandardBrain[Characteristic],,,)</f>
        <v xml:space="preserve"> </v>
      </c>
      <c r="K74" s="43">
        <f>_xlfn.XLOOKUP(A74,StandardBrain[Name],StandardBrain[TL],,,)+D74</f>
        <v>0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/>
      </c>
      <c r="P74" s="138">
        <f>IF(AND(A74="Science ()",B74="all",D74&gt;0),(_xlfn.XLOOKUP(A74,StandardBrain[Name],StandardBrain[Cr],,,)*10^(D74))*8,IF(AND(B74="all",D74&gt;0),(_xlfn.XLOOKUP(A74,StandardBrain[Name],StandardBrain[Cr],,,)*10^(D74))*4,IF(A74="N/A",0,_xlfn.XLOOKUP(A74,StandardBrain[Name],StandardBrain[Cr],,,)*10^(D74))))</f>
        <v>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117</v>
      </c>
      <c r="B75" s="193"/>
      <c r="C75" s="227"/>
      <c r="D75" s="57"/>
      <c r="E75" s="39"/>
      <c r="G75" s="59" t="str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/>
      </c>
      <c r="I75" s="58" t="str">
        <f>_xlfn.XLOOKUP(A75,StandardBrain[Name],StandardBrain[Characteristic],,,)</f>
        <v xml:space="preserve"> </v>
      </c>
      <c r="K75" s="43">
        <f>_xlfn.XLOOKUP(A75,StandardBrain[Name],StandardBrain[TL],,,)+D75</f>
        <v>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/>
      </c>
      <c r="P75" s="138">
        <f>IF(AND(A75="Science ()",B75="all",D75&gt;0),(_xlfn.XLOOKUP(A75,StandardBrain[Name],StandardBrain[Cr],,,)*10^(D75))*8,IF(AND(B75="all",D75&gt;0),(_xlfn.XLOOKUP(A75,StandardBrain[Name],StandardBrain[Cr],,,)*10^(D75))*4,IF(A75="N/A",0,_xlfn.XLOOKUP(A75,StandardBrain[Name],StandardBrain[Cr],,,)*10^(D75))))</f>
        <v>0</v>
      </c>
      <c r="R75" s="206"/>
      <c r="S75" s="207"/>
      <c r="T75" s="207"/>
      <c r="U75" s="207"/>
      <c r="V75" s="207"/>
      <c r="W75" s="207"/>
      <c r="X75" s="207"/>
      <c r="Y75" s="207"/>
      <c r="Z75" s="208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,D76&gt;0),(_xlfn.XLOOKUP(A76,StandardBrain[Name],StandardBrain[Cr],,,)*10^(D76))*8,IF(AND(B76="all",D76&gt;0),(_xlfn.XLOOKUP(A76,StandardBrain[Name],StandardBrain[Cr],,,)*10^(D76))*4,IF(A76="N/A",0,_xlfn.XLOOKUP(A76,StandardBrain[Name],StandardBrain[Cr],,,)*10^(D76))))</f>
        <v>0</v>
      </c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,D77&gt;0),(_xlfn.XLOOKUP(A77,StandardBrain[Name],StandardBrain[Cr],,,)*10^(D77))*8,IF(AND(B77="all",D77&gt;0)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,D78&gt;0),(_xlfn.XLOOKUP(A78,StandardBrain[Name],StandardBrain[Cr],,,)*10^(D78))*8,IF(AND(B78="all",D78&gt;0)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,D79&gt;0),(_xlfn.XLOOKUP(A79,StandardBrain[Name],StandardBrain[Cr],,,)*10^(D79))*8,IF(AND(B79="all",D79&gt;0)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,D80&gt;0),(_xlfn.XLOOKUP(A80,StandardBrain[Name],StandardBrain[Cr],,,)*10^(D80))*8,IF(AND(B80="all",D80&gt;0)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,D81&gt;0),(_xlfn.XLOOKUP(A81,StandardBrain[Name],StandardBrain[Cr],,,)*10^(D81))*8,IF(AND(B81="all",D81&gt;0)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,D82&gt;0),(_xlfn.XLOOKUP(A82,StandardBrain[Name],StandardBrain[Cr],,,)*10^(D82))*8,IF(AND(B82="all",D82&gt;0)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,D83&gt;0),(_xlfn.XLOOKUP(A83,StandardBrain[Name],StandardBrain[Cr],,,)*10^(D83))*8,IF(AND(B83="all",D83&gt;0)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,D84&gt;0),(_xlfn.XLOOKUP(A84,StandardBrain[Name],StandardBrain[Cr],,,)*10^(D84))*8,IF(AND(B84="all",D84&gt;0)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,D85&gt;0),(_xlfn.XLOOKUP(A85,StandardBrain[Name],StandardBrain[Cr],,,)*10^(D85))*8,IF(AND(B85="all",D85&gt;0)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,D86&gt;0),(_xlfn.XLOOKUP(A86,StandardBrain[Name],StandardBrain[Cr],,,)*10^(D86))*8,IF(AND(B86="all",D86&gt;0)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,D87&gt;0),(_xlfn.XLOOKUP(A87,StandardBrain[Name],StandardBrain[Cr],,,)*10^(D87))*8,IF(AND(B87="all",D87&gt;0)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,D88&gt;0),(_xlfn.XLOOKUP(A88,StandardBrain[Name],StandardBrain[Cr],,,)*10^(D88))*8,IF(AND(B88="all",D88&gt;0)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,D89&gt;0),(_xlfn.XLOOKUP(A89,StandardBrain[Name],StandardBrain[Cr],,,)*10^(D89))*8,IF(AND(B89="all",D89&gt;0)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,D90&gt;0),(_xlfn.XLOOKUP(A90,StandardBrain[Name],StandardBrain[Cr],,,)*10^(D90))*8,IF(AND(B90="all",D90&gt;0)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10000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9000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dataConsolidate/>
  <mergeCells count="113">
    <mergeCell ref="B71:D71"/>
    <mergeCell ref="B73:C73"/>
    <mergeCell ref="B74:C74"/>
    <mergeCell ref="B75:C75"/>
    <mergeCell ref="B76:C76"/>
    <mergeCell ref="B77:C77"/>
    <mergeCell ref="A61:D61"/>
    <mergeCell ref="H61:I61"/>
    <mergeCell ref="B64:D64"/>
    <mergeCell ref="B65:D65"/>
    <mergeCell ref="B69:D69"/>
    <mergeCell ref="B70:D70"/>
    <mergeCell ref="B90:C90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R20:Z75"/>
    <mergeCell ref="G11:H11"/>
    <mergeCell ref="K11:L11"/>
    <mergeCell ref="S11:Z11"/>
    <mergeCell ref="G12:O12"/>
    <mergeCell ref="S12:Z12"/>
    <mergeCell ref="R13:R17"/>
    <mergeCell ref="S13:Z17"/>
    <mergeCell ref="A39:D39"/>
    <mergeCell ref="H39:J39"/>
    <mergeCell ref="A40:D40"/>
    <mergeCell ref="H40:J40"/>
    <mergeCell ref="A41:D41"/>
    <mergeCell ref="H41:J41"/>
    <mergeCell ref="H35:J35"/>
    <mergeCell ref="A36:D36"/>
    <mergeCell ref="H36:J36"/>
    <mergeCell ref="A37:D37"/>
    <mergeCell ref="H37:J37"/>
    <mergeCell ref="A38:D38"/>
    <mergeCell ref="H38:J38"/>
    <mergeCell ref="A45:D45"/>
    <mergeCell ref="H45:J45"/>
    <mergeCell ref="A46:D46"/>
    <mergeCell ref="A32:D32"/>
    <mergeCell ref="H32:J32"/>
    <mergeCell ref="A33:D33"/>
    <mergeCell ref="H33:J33"/>
    <mergeCell ref="A34:D34"/>
    <mergeCell ref="H34:J34"/>
    <mergeCell ref="B29:D29"/>
    <mergeCell ref="H29:J29"/>
    <mergeCell ref="A30:D30"/>
    <mergeCell ref="H30:J30"/>
    <mergeCell ref="A31:D31"/>
    <mergeCell ref="H31:J31"/>
    <mergeCell ref="B2:D2"/>
    <mergeCell ref="F2:H2"/>
    <mergeCell ref="I2:M2"/>
    <mergeCell ref="G3:J3"/>
    <mergeCell ref="G4:I4"/>
    <mergeCell ref="K4:L4"/>
    <mergeCell ref="G10:H10"/>
    <mergeCell ref="K10:M10"/>
    <mergeCell ref="S10:Z10"/>
    <mergeCell ref="G9:I9"/>
    <mergeCell ref="K9:M9"/>
    <mergeCell ref="S9:Z9"/>
    <mergeCell ref="G5:I5"/>
    <mergeCell ref="H6:N6"/>
    <mergeCell ref="G7:I7"/>
    <mergeCell ref="S7:Z7"/>
    <mergeCell ref="G8:I8"/>
    <mergeCell ref="K8:M8"/>
    <mergeCell ref="S8:Z8"/>
  </mergeCells>
  <conditionalFormatting sqref="B14">
    <cfRule type="expression" dxfId="223" priority="7">
      <formula>ABS($J$14-6) &gt; 6</formula>
    </cfRule>
  </conditionalFormatting>
  <conditionalFormatting sqref="E2">
    <cfRule type="expression" dxfId="222" priority="5">
      <formula>$E$2&lt;0</formula>
    </cfRule>
  </conditionalFormatting>
  <conditionalFormatting sqref="E15:E17">
    <cfRule type="expression" dxfId="221" priority="1">
      <formula>AND($B$4=0,E15&lt;0)</formula>
    </cfRule>
  </conditionalFormatting>
  <conditionalFormatting sqref="K5 K30:K34 K36:K57 K59:K61 K64:K67 K73:K90">
    <cfRule type="expression" dxfId="220" priority="6">
      <formula>K5&gt;$O$2</formula>
    </cfRule>
  </conditionalFormatting>
  <conditionalFormatting sqref="L57">
    <cfRule type="expression" dxfId="219" priority="2">
      <formula>L57&gt;$O$2</formula>
    </cfRule>
  </conditionalFormatting>
  <conditionalFormatting sqref="L67">
    <cfRule type="expression" dxfId="218" priority="4">
      <formula>L67&lt;0</formula>
    </cfRule>
  </conditionalFormatting>
  <dataValidations count="20">
    <dataValidation type="whole" allowBlank="1" showInputMessage="1" showErrorMessage="1" error="Total Armour cannot exceed Maximum" sqref="B7" xr:uid="{31F9278F-4245-4A43-B19E-9C849E43B050}">
      <formula1>-1</formula1>
      <formula2>L7-MID(A7,18,1)</formula2>
    </dataValidation>
    <dataValidation type="whole" allowBlank="1" showInputMessage="1" showErrorMessage="1" error="Max DEX = TL+3" sqref="K19:K28" xr:uid="{1E81D2BE-1B54-43AC-81AF-5EED3085A29A}">
      <formula1>0</formula1>
      <formula2>J19-D19</formula2>
    </dataValidation>
    <dataValidation type="whole" allowBlank="1" showInputMessage="1" showErrorMessage="1" error="Max STR = Lesser of Size + TL or SIZE X 4" sqref="G19:G28" xr:uid="{EC8F10CF-EACB-40EA-905D-B10A36DFA956}">
      <formula1>0</formula1>
      <formula2>F19-C19</formula2>
    </dataValidation>
    <dataValidation type="whole" allowBlank="1" showInputMessage="1" showErrorMessage="1" sqref="E13:E14" xr:uid="{61255C80-17F5-4EE8-8AD4-7DE60A9D2688}">
      <formula1>0</formula1>
      <formula2>#REF!/2</formula2>
    </dataValidation>
    <dataValidation type="whole" allowBlank="1" showInputMessage="1" showErrorMessage="1" sqref="C14:D14" xr:uid="{6734FC9D-4F5C-4357-BAFB-A32E2B42B8E2}">
      <formula1>0</formula1>
      <formula2>D15/2</formula2>
    </dataValidation>
    <dataValidation type="whole" allowBlank="1" showInputMessage="1" showErrorMessage="1" sqref="C13:D13" xr:uid="{34812DBF-C84A-4DEE-87E6-63CD01999467}">
      <formula1>0</formula1>
      <formula2>D5/2</formula2>
    </dataValidation>
    <dataValidation type="whole" allowBlank="1" showInputMessage="1" showErrorMessage="1" sqref="C11:D11" xr:uid="{6CD7D197-50A3-4B37-B26C-1E1D90AB90B1}">
      <formula1>0</formula1>
      <formula2>D4/2</formula2>
    </dataValidation>
    <dataValidation type="whole" allowBlank="1" showInputMessage="1" showErrorMessage="1" error="Must be whole number between -6 and +12" sqref="B14" xr:uid="{AF59B7CB-6EE0-4BB1-9127-3934AF5FC088}">
      <formula1>-6</formula1>
      <formula2>12</formula2>
    </dataValidation>
    <dataValidation type="list" allowBlank="1" showInputMessage="1" showErrorMessage="1" sqref="B16" xr:uid="{6CF852CB-50F0-43C9-B3EB-AA7FED18DC67}">
      <formula1>"No,1X,2X,3X"</formula1>
    </dataValidation>
    <dataValidation type="list" allowBlank="1" showInputMessage="1" showErrorMessage="1" sqref="B15" xr:uid="{9ED1290C-FFCD-4099-BB32-995B9577D605}">
      <formula1>"FALSE,TRUE"</formula1>
    </dataValidation>
    <dataValidation type="list" allowBlank="1" showInputMessage="1" showErrorMessage="1" sqref="D73:D90 B66" xr:uid="{EC65B269-7C4C-4003-8E82-01444DAB62E0}">
      <formula1>"0,1,2,3"</formula1>
    </dataValidation>
    <dataValidation type="list" allowBlank="1" showInputMessage="1" showErrorMessage="1" sqref="B13" xr:uid="{5E232813-47DC-4EAD-96BA-94F9C25A78A9}">
      <formula1>"0,1,2,3,4"</formula1>
    </dataValidation>
    <dataValidation type="list" allowBlank="1" showInputMessage="1" showErrorMessage="1" sqref="B27:B28 B67 B8" xr:uid="{2F9B949D-61FB-4739-B77C-DFC1E0C95576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62BE3506-7734-4910-9CB4-111B3681FB13}">
      <formula1>0</formula1>
      <formula2>$B$4+2</formula2>
    </dataValidation>
    <dataValidation type="list" allowBlank="1" showInputMessage="1" showErrorMessage="1" sqref="O2" xr:uid="{F1B71337-F635-46F5-9AB6-E0A439B75F1C}">
      <formula1>"7,8,9,10,11,12,13,14,15,16,17,18"</formula1>
    </dataValidation>
    <dataValidation type="list" allowBlank="1" showInputMessage="1" showErrorMessage="1" sqref="B4" xr:uid="{16A030B0-3EE8-46A2-A085-4871C6A9F1C5}">
      <formula1>"0,1,2,3,4,5,6,7,8"</formula1>
    </dataValidation>
    <dataValidation type="list" allowBlank="1" showInputMessage="1" showErrorMessage="1" error="Maximum = 3" sqref="B9" xr:uid="{185A010D-1765-4779-A4D0-2A43683E0F89}">
      <formula1>"0,1,2,3"</formula1>
    </dataValidation>
    <dataValidation type="whole" allowBlank="1" showInputMessage="1" showErrorMessage="1" sqref="E11" xr:uid="{F2F21E8B-283D-480A-8AC2-11C7ED584972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639C7313-C5AB-46C1-89D7-38A15D2CE5FD}">
      <formula1>0</formula1>
      <formula2>E4/2</formula2>
    </dataValidation>
    <dataValidation type="whole" allowBlank="1" showInputMessage="1" showErrorMessage="1" error="Must be a negative number no less than a 50% of the base hits" sqref="B11" xr:uid="{06DF882A-FB4B-4B36-A52C-46395613B13A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F34E241F-41D0-46EE-BCC8-A45E91B4A71F}">
          <x14:formula1>
            <xm:f>Packages!$B$23:$B$25</xm:f>
          </x14:formula1>
          <xm:sqref>B71</xm:sqref>
        </x14:dataValidation>
        <x14:dataValidation type="list" allowBlank="1" showInputMessage="1" showErrorMessage="1" xr:uid="{20EA7820-D182-4A98-96F6-41158EC4D0AD}">
          <x14:formula1>
            <xm:f>Packages!$B$3:$B$7</xm:f>
          </x14:formula1>
          <xm:sqref>B69</xm:sqref>
        </x14:dataValidation>
        <x14:dataValidation type="list" allowBlank="1" showInputMessage="1" showErrorMessage="1" xr:uid="{39165FA8-CBD7-47DE-98CE-AE1CF311F3B8}">
          <x14:formula1>
            <xm:f>Packages!$B$11:$B$19</xm:f>
          </x14:formula1>
          <xm:sqref>B70</xm:sqref>
        </x14:dataValidation>
        <x14:dataValidation type="list" allowBlank="1" showInputMessage="1" showErrorMessage="1" xr:uid="{EDDD3BDE-8C94-41E2-9F7D-8B6312018D39}">
          <x14:formula1>
            <xm:f>Chassis!$H$3:$H$13</xm:f>
          </x14:formula1>
          <xm:sqref>B17 B5</xm:sqref>
        </x14:dataValidation>
        <x14:dataValidation type="list" allowBlank="1" showInputMessage="1" showErrorMessage="1" xr:uid="{89755F53-5442-40C3-BE8C-36F02E74CAFF}">
          <x14:formula1>
            <xm:f>Options!$C$9:$C$71</xm:f>
          </x14:formula1>
          <xm:sqref>A30:A34</xm:sqref>
        </x14:dataValidation>
        <x14:dataValidation type="list" allowBlank="1" showInputMessage="1" showErrorMessage="1" xr:uid="{B3108D55-AA14-4277-A7C0-76EB2053530B}">
          <x14:formula1>
            <xm:f>Options!$C$9:$C$251</xm:f>
          </x14:formula1>
          <xm:sqref>A36:A56</xm:sqref>
        </x14:dataValidation>
        <x14:dataValidation type="list" allowBlank="1" showInputMessage="1" showErrorMessage="1" xr:uid="{7A118E03-1B91-4E99-BD9E-AD9ADA0D74AD}">
          <x14:formula1>
            <xm:f>Packages!$B$29:$B$68</xm:f>
          </x14:formula1>
          <xm:sqref>A73:A90</xm:sqref>
        </x14:dataValidation>
        <x14:dataValidation type="list" allowBlank="1" showInputMessage="1" showErrorMessage="1" xr:uid="{00E9F9AC-FE35-4A3E-BEA3-020E8D65CBDE}">
          <x14:formula1>
            <xm:f>Brains!$K$3:$K$16</xm:f>
          </x14:formula1>
          <xm:sqref>B65</xm:sqref>
        </x14:dataValidation>
        <x14:dataValidation type="list" allowBlank="1" showInputMessage="1" showErrorMessage="1" xr:uid="{EC39F3F8-AD36-421E-A2EA-6B4EA90233F3}">
          <x14:formula1>
            <xm:f>Brains!$B$3:$B$19</xm:f>
          </x14:formula1>
          <xm:sqref>B64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2128-CFBB-4739-8468-6BB5408CA71D}">
  <sheetPr>
    <tabColor rgb="FFC00000"/>
  </sheetPr>
  <dimension ref="A1:Z75"/>
  <sheetViews>
    <sheetView workbookViewId="0">
      <pane ySplit="3" topLeftCell="A15" activePane="bottomLeft" state="frozen"/>
      <selection pane="bottomLeft" activeCell="P41" sqref="P41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579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/>
      <c r="C2" s="160"/>
      <c r="D2" s="161"/>
      <c r="E2" s="36">
        <f>SUM(E5:E47)+E4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9400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0</v>
      </c>
      <c r="E4" s="114">
        <v>0</v>
      </c>
      <c r="F4" s="37">
        <f>B4+O2</f>
        <v>12</v>
      </c>
      <c r="G4" s="168" t="s">
        <v>299</v>
      </c>
      <c r="H4" s="168"/>
      <c r="I4" s="169"/>
      <c r="J4" s="108">
        <v>1</v>
      </c>
      <c r="K4" s="170" t="s">
        <v>727</v>
      </c>
      <c r="L4" s="171"/>
      <c r="M4" s="52">
        <v>50</v>
      </c>
      <c r="N4" s="12" t="s">
        <v>594</v>
      </c>
      <c r="P4" s="133"/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50*_xlfn.XLOOKUP(B5,Locomotion[Locomotion],Locomotion[Cost X])</f>
        <v>500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>
        <f>B2</f>
        <v>0</v>
      </c>
      <c r="S6" s="143">
        <f>M9</f>
        <v>1</v>
      </c>
      <c r="T6" s="143" t="str">
        <f>B5</f>
        <v>Walker</v>
      </c>
      <c r="U6" s="143" t="str">
        <f>_xlfn.CONCAT(J12," m")</f>
        <v>3 m</v>
      </c>
      <c r="V6" s="144">
        <f>O2</f>
        <v>12</v>
      </c>
      <c r="W6" s="144" t="str">
        <f>_xlfn.CONCAT("Cr",TEXT(P48,"#,### "))</f>
        <v xml:space="preserve">Cr10,520 </v>
      </c>
      <c r="X6" s="151">
        <f>IF(I2="Standard Design",0.1,0)</f>
        <v>0.1</v>
      </c>
      <c r="Y6" s="152">
        <v>2</v>
      </c>
      <c r="Z6" s="147">
        <f>FLOOR(P48*(1-X6),100)</f>
        <v>9400</v>
      </c>
    </row>
    <row r="7" spans="1:26" ht="12" customHeight="1" x14ac:dyDescent="0.4">
      <c r="A7" s="91" t="s">
        <v>580</v>
      </c>
      <c r="B7" s="119"/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v>0</v>
      </c>
      <c r="K7" s="92" t="s">
        <v>313</v>
      </c>
      <c r="L7" s="51">
        <v>0</v>
      </c>
      <c r="P7" s="136" cm="1">
        <f t="array" ref="P7">IF(B7&gt;-1,_xlfn.XLOOKUP($O$2,Armour[TL],-Armour[Cost/Slot]*E7,,,),-P5*0.1)</f>
        <v>0</v>
      </c>
      <c r="R7" s="118" t="s">
        <v>90</v>
      </c>
      <c r="S7" s="182" t="str">
        <f>_xlfn.CONCAT(O8,O11,O14:O30,O33,O37:O39,O41:O47)</f>
        <v/>
      </c>
      <c r="T7" s="183"/>
      <c r="U7" s="183"/>
      <c r="V7" s="183"/>
      <c r="W7" s="183"/>
      <c r="X7" s="183"/>
      <c r="Y7" s="183"/>
      <c r="Z7" s="184"/>
    </row>
    <row r="8" spans="1:26" ht="12" customHeight="1" x14ac:dyDescent="0.4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</f>
        <v>108</v>
      </c>
      <c r="K8" s="188" t="s">
        <v>64</v>
      </c>
      <c r="L8" s="189"/>
      <c r="M8" s="190"/>
      <c r="O8" s="5" t="str">
        <f>IF(B4=0,"","")</f>
        <v/>
      </c>
      <c r="P8" s="136">
        <f>B8*0.5*P5</f>
        <v>0</v>
      </c>
      <c r="R8" s="115" t="s">
        <v>320</v>
      </c>
      <c r="S8" s="182" t="s">
        <v>359</v>
      </c>
      <c r="T8" s="183"/>
      <c r="U8" s="183"/>
      <c r="V8" s="183"/>
      <c r="W8" s="183"/>
      <c r="X8" s="183"/>
      <c r="Y8" s="183"/>
      <c r="Z8" s="184"/>
    </row>
    <row r="9" spans="1:26" ht="12" customHeight="1" thickBot="1" x14ac:dyDescent="0.45">
      <c r="A9" s="92" t="s">
        <v>182</v>
      </c>
      <c r="B9" s="28">
        <v>0</v>
      </c>
      <c r="C9" s="24"/>
      <c r="D9" s="24"/>
      <c r="E9" s="40"/>
      <c r="F9" s="38"/>
      <c r="G9" s="209" t="s">
        <v>317</v>
      </c>
      <c r="H9" s="210"/>
      <c r="I9" s="102" t="s">
        <v>13</v>
      </c>
      <c r="J9" s="33">
        <f>B9</f>
        <v>0</v>
      </c>
      <c r="K9" s="211" t="s">
        <v>303</v>
      </c>
      <c r="L9" s="212"/>
      <c r="M9" s="34">
        <v>1</v>
      </c>
      <c r="N9" s="24"/>
      <c r="O9" s="24"/>
      <c r="P9" s="135">
        <f>_xlfn.XLOOKUP(B5,Locomotion[Locomotion],Locomotion[Cost X])*50*B9</f>
        <v>0</v>
      </c>
      <c r="R9" s="115" t="s">
        <v>49</v>
      </c>
      <c r="S9" s="182"/>
      <c r="T9" s="183"/>
      <c r="U9" s="183"/>
      <c r="V9" s="183"/>
      <c r="W9" s="183"/>
      <c r="X9" s="183"/>
      <c r="Y9" s="183"/>
      <c r="Z9" s="184"/>
    </row>
    <row r="10" spans="1:26" ht="12" customHeight="1" thickBot="1" x14ac:dyDescent="0.45">
      <c r="A10" s="63" t="s">
        <v>186</v>
      </c>
      <c r="B10" s="71"/>
      <c r="C10" s="62"/>
      <c r="D10" s="62"/>
      <c r="E10" s="64" t="s">
        <v>10</v>
      </c>
      <c r="F10" s="38"/>
      <c r="G10" s="165"/>
      <c r="H10" s="166"/>
      <c r="I10" s="166"/>
      <c r="J10" s="166"/>
      <c r="K10" s="166"/>
      <c r="L10" s="166"/>
      <c r="M10" s="166"/>
      <c r="N10" s="166"/>
      <c r="O10" s="185"/>
      <c r="P10" s="134" t="s">
        <v>5</v>
      </c>
      <c r="R10" s="118" t="s">
        <v>35</v>
      </c>
      <c r="S10" s="176" t="str">
        <f>_xlfn.CONCAT(ROUND(J8*(1-B12/10),0)," hours")</f>
        <v>108 hours</v>
      </c>
      <c r="T10" s="177"/>
      <c r="U10" s="177"/>
      <c r="V10" s="177"/>
      <c r="W10" s="177"/>
      <c r="X10" s="177"/>
      <c r="Y10" s="177"/>
      <c r="Z10" s="178"/>
    </row>
    <row r="11" spans="1:26" ht="12" customHeight="1" x14ac:dyDescent="0.4">
      <c r="A11" s="91" t="s">
        <v>177</v>
      </c>
      <c r="B11" s="30">
        <v>0</v>
      </c>
      <c r="E11" s="39"/>
      <c r="F11" s="37"/>
      <c r="G11" s="92" t="s">
        <v>305</v>
      </c>
      <c r="H11" s="92"/>
      <c r="I11" s="92"/>
      <c r="J11" s="33">
        <f>IF(J5="-","-",J5+B11)</f>
        <v>0</v>
      </c>
      <c r="L11" s="11"/>
      <c r="O11" s="5" t="str">
        <f>IF(B11=0,"",_xlfn.CONCAT("Athletics (dexterity) ",B11,", "))</f>
        <v/>
      </c>
      <c r="P11" s="136">
        <f>IF(B11=0,0,P5*2^(B11-1))</f>
        <v>0</v>
      </c>
      <c r="R11" s="118" t="s">
        <v>25</v>
      </c>
      <c r="S11" s="176" t="str">
        <f>_xlfn.CONCAT(N5,N4,N14:N30,N35,N37:N38)</f>
        <v xml:space="preserve">ATV, Small (-4), 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92" t="s">
        <v>300</v>
      </c>
      <c r="B12" s="29"/>
      <c r="E12" s="39"/>
      <c r="F12" s="37"/>
      <c r="G12" s="92" t="s">
        <v>306</v>
      </c>
      <c r="H12" s="92"/>
      <c r="I12" s="92"/>
      <c r="J12" s="51">
        <f>IF(B5="None",0,ROUNDUP((5+J5)/2+B12,0))</f>
        <v>3</v>
      </c>
      <c r="K12" s="32" t="str">
        <f>_xlfn.CONCAT("Final Endurance =  ",ROUND(J8*(1-B12/10),0)," hours")</f>
        <v>Final Endurance =  108 hours</v>
      </c>
      <c r="L12" s="5"/>
      <c r="M12" s="5"/>
      <c r="N12" s="5"/>
      <c r="P12" s="136">
        <f>B12*0.5*P5</f>
        <v>0</v>
      </c>
      <c r="R12" s="115" t="s">
        <v>321</v>
      </c>
      <c r="S12" s="182" t="str">
        <f>_xlfn.CONCAT(_xlfn.IFS(LEFT(B33,1)="N",B33,LEFT(B33,1)="P",B37,LEFT(B33,1)="B",B38,LEFT(B33,1)="H",B39,LEFT(B33,1)="A","Advanced",LEFT(B33,1)="V","Very Advanced",LEFT(B33,1)="S","Self-aware",LEFT(B33,1)="C","Conscious")," (INT ",H34,")")</f>
        <v>Advanced (INT 6)</v>
      </c>
      <c r="T12" s="183"/>
      <c r="U12" s="183"/>
      <c r="V12" s="183"/>
      <c r="W12" s="183"/>
      <c r="X12" s="183"/>
      <c r="Y12" s="183"/>
      <c r="Z12" s="184"/>
    </row>
    <row r="13" spans="1:26" ht="12" customHeight="1" thickBot="1" x14ac:dyDescent="0.4">
      <c r="A13" s="63" t="s">
        <v>583</v>
      </c>
      <c r="B13" s="165"/>
      <c r="C13" s="166"/>
      <c r="D13" s="185"/>
      <c r="E13" s="71" t="s">
        <v>10</v>
      </c>
      <c r="F13" s="66" t="s">
        <v>97</v>
      </c>
      <c r="G13" s="63"/>
      <c r="H13" s="197" t="s">
        <v>301</v>
      </c>
      <c r="I13" s="198"/>
      <c r="J13" s="199"/>
      <c r="K13" s="76" t="s">
        <v>4</v>
      </c>
      <c r="L13" s="65"/>
      <c r="M13" s="70"/>
      <c r="N13" s="65" t="s">
        <v>25</v>
      </c>
      <c r="O13" s="63" t="s">
        <v>90</v>
      </c>
      <c r="P13" s="134" t="s">
        <v>5</v>
      </c>
      <c r="R13" s="213" t="s">
        <v>475</v>
      </c>
      <c r="S13" s="216" t="str">
        <f>_xlfn.CONCAT(A14,", ",A15,", ",A16,", ",A17,", ",A18,", ",A19,", ",A20,", ",A21,", ",A22,", ",A23,", ",A24,", ",A25,", ",A26,", ",A27,", ",A28,", ",A29,", ",A30)</f>
        <v xml:space="preserve">Microbot Manipulator, Microbot Manipulator, , , , , , , , , , , , , , , </v>
      </c>
      <c r="T13" s="217"/>
      <c r="U13" s="217"/>
      <c r="V13" s="217"/>
      <c r="W13" s="217"/>
      <c r="X13" s="217"/>
      <c r="Y13" s="217"/>
      <c r="Z13" s="218"/>
    </row>
    <row r="14" spans="1:26" ht="12" customHeight="1" x14ac:dyDescent="0.35">
      <c r="A14" s="191" t="s">
        <v>582</v>
      </c>
      <c r="B14" s="192"/>
      <c r="C14" s="192"/>
      <c r="D14" s="192"/>
      <c r="E14" s="100">
        <f>_xlfn.XLOOKUP(A14,OptionsTable[Name],OptionsTable[Slots],,,)</f>
        <v>0</v>
      </c>
      <c r="F14" s="37">
        <f>IF(_xlfn.XLOOKUP(A14,OptionsTable[Name],OptionsTable[xS],,,)=FALSE,1,0.5)</f>
        <v>1</v>
      </c>
      <c r="G14" s="37"/>
      <c r="H14" s="193" t="str">
        <f>IF(_xlfn.XLOOKUP(A14,OptionsTable[Name],OptionsTable[Notes],,,)="","",_xlfn.XLOOKUP(A14,OptionsTable[Name],OptionsTable[Notes],,,))</f>
        <v/>
      </c>
      <c r="I14" s="194"/>
      <c r="J14" s="194"/>
      <c r="K14" s="43">
        <f>_xlfn.XLOOKUP(A14,OptionsTable[Name],OptionsTable[TL],,,)</f>
        <v>8</v>
      </c>
      <c r="N14" s="5" t="str">
        <f>IF(_xlfn.XLOOKUP(A14,OptionsTable[Name],OptionsTable[Trait],,,)="","",_xlfn.XLOOKUP(A14,OptionsTable[Name],OptionsTable[Trait],,,))</f>
        <v/>
      </c>
      <c r="O14" s="5" t="str">
        <f>IF(_xlfn.XLOOKUP(A14,OptionsTable[Name],OptionsTable[Skill],,,)="","",_xlfn.XLOOKUP(A14,OptionsTable[Name],OptionsTable[Skill],,,))</f>
        <v/>
      </c>
      <c r="P14" s="136">
        <f>_xlfn.XLOOKUP(A14,OptionsTable[Name],OptionsTable[Cost],,,)*F14</f>
        <v>10</v>
      </c>
      <c r="R14" s="214"/>
      <c r="S14" s="216"/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191" t="s">
        <v>582</v>
      </c>
      <c r="B15" s="192"/>
      <c r="C15" s="192"/>
      <c r="D15" s="192"/>
      <c r="E15" s="100">
        <f>_xlfn.XLOOKUP(A15,OptionsTable[Name],OptionsTable[Slots],,,)</f>
        <v>0</v>
      </c>
      <c r="F15" s="37">
        <f>IF(_xlfn.XLOOKUP(A15,OptionsTable[Name],OptionsTable[xS],,,)=FALSE,1,0.5)</f>
        <v>1</v>
      </c>
      <c r="G15" s="37"/>
      <c r="H15" s="193" t="str">
        <f>IF(_xlfn.XLOOKUP(A15,OptionsTable[Name],OptionsTable[Notes],,,)="","",_xlfn.XLOOKUP(A15,OptionsTable[Name],OptionsTable[Notes],,,))</f>
        <v/>
      </c>
      <c r="I15" s="194"/>
      <c r="J15" s="194"/>
      <c r="K15" s="43">
        <f>_xlfn.XLOOKUP(A15,OptionsTable[Name],OptionsTable[TL],,,)</f>
        <v>8</v>
      </c>
      <c r="N15" s="5" t="str">
        <f>IF(_xlfn.XLOOKUP(A15,OptionsTable[Name],OptionsTable[Trait],,,)="","",_xlfn.XLOOKUP(A15,OptionsTable[Name],OptionsTable[Trait],,,))</f>
        <v/>
      </c>
      <c r="O15" s="5" t="str">
        <f>IF(_xlfn.XLOOKUP(A15,OptionsTable[Name],OptionsTable[Skill],,,)="","",_xlfn.XLOOKUP(A15,OptionsTable[Name],OptionsTable[Skill],,,))</f>
        <v/>
      </c>
      <c r="P15" s="136">
        <f>_xlfn.XLOOKUP(A15,OptionsTable[Name],OptionsTable[Cost],,,)*F15</f>
        <v>10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191"/>
      <c r="B16" s="192"/>
      <c r="C16" s="192"/>
      <c r="D16" s="192"/>
      <c r="E16" s="100">
        <f>_xlfn.XLOOKUP(A16,OptionsTable[Name],OptionsTable[Slots],,,)</f>
        <v>0</v>
      </c>
      <c r="F16" s="37">
        <f>IF(_xlfn.XLOOKUP(A16,OptionsTable[Name],OptionsTable[xS],,,)=FALSE,1,0.5)</f>
        <v>1</v>
      </c>
      <c r="G16" s="37"/>
      <c r="H16" s="193" t="str">
        <f>IF(_xlfn.XLOOKUP(A16,OptionsTable[Name],OptionsTable[Notes],,,)="","",_xlfn.XLOOKUP(A16,OptionsTable[Name],OptionsTable[Notes],,,))</f>
        <v/>
      </c>
      <c r="I16" s="194"/>
      <c r="J16" s="194"/>
      <c r="K16" s="43">
        <f>_xlfn.XLOOKUP(A16,OptionsTable[Name],OptionsTable[TL],,,)</f>
        <v>0</v>
      </c>
      <c r="N16" s="5" t="str">
        <f>IF(_xlfn.XLOOKUP(A16,OptionsTable[Name],OptionsTable[Trait],,,)="","",_xlfn.XLOOKUP(A16,OptionsTable[Name],OptionsTable[Trait],,,))</f>
        <v/>
      </c>
      <c r="O16" s="5" t="str">
        <f>IF(_xlfn.XLOOKUP(A16,OptionsTable[Name],OptionsTable[Skill],,,)="","",_xlfn.XLOOKUP(A16,OptionsTable[Name],OptionsTable[Skill],,,))</f>
        <v/>
      </c>
      <c r="P16" s="136">
        <f>_xlfn.XLOOKUP(A16,OptionsTable[Name],OptionsTable[Cost],,,)*F16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x14ac:dyDescent="0.35">
      <c r="A17" s="191"/>
      <c r="B17" s="192"/>
      <c r="C17" s="192"/>
      <c r="D17" s="192"/>
      <c r="E17" s="100">
        <f>_xlfn.XLOOKUP(A17,OptionsTable[Name],OptionsTable[Slots],,,)</f>
        <v>0</v>
      </c>
      <c r="F17" s="37">
        <f>IF(_xlfn.XLOOKUP(A17,OptionsTable[Name],OptionsTable[xS],,,)=FALSE,1,0.5)</f>
        <v>1</v>
      </c>
      <c r="G17" s="37"/>
      <c r="H17" s="193" t="str">
        <f>IF(_xlfn.XLOOKUP(A17,OptionsTable[Name],OptionsTable[Notes],,,)="","",_xlfn.XLOOKUP(A17,OptionsTable[Name],OptionsTable[Notes],,,))</f>
        <v/>
      </c>
      <c r="I17" s="194"/>
      <c r="J17" s="194"/>
      <c r="K17" s="43">
        <f>_xlfn.XLOOKUP(A17,OptionsTable[Name],OptionsTable[TL],,,)</f>
        <v>0</v>
      </c>
      <c r="N17" s="5" t="str">
        <f>IF(_xlfn.XLOOKUP(A17,OptionsTable[Name],OptionsTable[Trait],,,)="","",_xlfn.XLOOKUP(A17,OptionsTable[Name],OptionsTable[Trait],,,))</f>
        <v/>
      </c>
      <c r="O17" s="5" t="str">
        <f>IF(_xlfn.XLOOKUP(A17,OptionsTable[Name],OptionsTable[Skill],,,)="","",_xlfn.XLOOKUP(A17,OptionsTable[Name],OptionsTable[Skill],,,))</f>
        <v/>
      </c>
      <c r="P17" s="136">
        <f>_xlfn.XLOOKUP(A17,OptionsTable[Name],OptionsTable[Cost],,,)*F17</f>
        <v>0</v>
      </c>
      <c r="R17" s="215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x14ac:dyDescent="0.35">
      <c r="A18" s="191"/>
      <c r="B18" s="192"/>
      <c r="C18" s="192"/>
      <c r="D18" s="192"/>
      <c r="E18" s="100">
        <f>_xlfn.XLOOKUP(A18,OptionsTable[Name],OptionsTable[Slots],,,)</f>
        <v>0</v>
      </c>
      <c r="F18" s="37">
        <f>IF(_xlfn.XLOOKUP(A18,OptionsTable[Name],OptionsTable[xS],,,)=FALSE,1,0.5)</f>
        <v>1</v>
      </c>
      <c r="G18" s="37"/>
      <c r="H18" s="193" t="str">
        <f>IF(_xlfn.XLOOKUP(A18,OptionsTable[Name],OptionsTable[Notes],,,)="","",_xlfn.XLOOKUP(A18,OptionsTable[Name],OptionsTable[Notes],,,))</f>
        <v/>
      </c>
      <c r="I18" s="194"/>
      <c r="J18" s="194"/>
      <c r="K18" s="43">
        <f>_xlfn.XLOOKUP(A18,OptionsTable[Name],OptionsTable[TL],,,)</f>
        <v>0</v>
      </c>
      <c r="N18" s="5" t="str">
        <f>IF(_xlfn.XLOOKUP(A18,OptionsTable[Name],OptionsTable[Trait],,,)="","",_xlfn.XLOOKUP(A18,OptionsTable[Name],OptionsTable[Trait],,,))</f>
        <v/>
      </c>
      <c r="O18" s="5" t="str">
        <f>IF(_xlfn.XLOOKUP(A18,OptionsTable[Name],OptionsTable[Skill],,,)="","",_xlfn.XLOOKUP(A18,OptionsTable[Name],OptionsTable[Skill],,,))</f>
        <v/>
      </c>
      <c r="P18" s="136">
        <f>_xlfn.XLOOKUP(A18,OptionsTable[Name],OptionsTable[Cost],,,)*F18</f>
        <v>0</v>
      </c>
    </row>
    <row r="19" spans="1:26" ht="12" customHeight="1" x14ac:dyDescent="0.35">
      <c r="A19" s="191"/>
      <c r="B19" s="192"/>
      <c r="C19" s="192"/>
      <c r="D19" s="192"/>
      <c r="E19" s="100">
        <f>_xlfn.XLOOKUP(A19,OptionsTable[Name],OptionsTable[Slots],,,)</f>
        <v>0</v>
      </c>
      <c r="F19" s="37">
        <f>IF(_xlfn.XLOOKUP(A19,OptionsTable[Name],OptionsTable[xS],,,)=FALSE,1,0.5)</f>
        <v>1</v>
      </c>
      <c r="G19" s="37"/>
      <c r="H19" s="193" t="str">
        <f>IF(_xlfn.XLOOKUP(A19,OptionsTable[Name],OptionsTable[Notes],,,)="","",_xlfn.XLOOKUP(A19,OptionsTable[Name],OptionsTable[Notes],,,))</f>
        <v/>
      </c>
      <c r="I19" s="194"/>
      <c r="J19" s="194"/>
      <c r="K19" s="43">
        <f>_xlfn.XLOOKUP(A19,OptionsTable[Name],OptionsTable[TL],,,)</f>
        <v>0</v>
      </c>
      <c r="N19" s="5" t="str">
        <f>IF(_xlfn.XLOOKUP(A19,OptionsTable[Name],OptionsTable[Trait],,,)="","",_xlfn.XLOOKUP(A19,OptionsTable[Name],OptionsTable[Trait],,,))</f>
        <v/>
      </c>
      <c r="O19" s="5" t="str">
        <f>IF(_xlfn.XLOOKUP(A19,OptionsTable[Name],OptionsTable[Skill],,,)="","",_xlfn.XLOOKUP(A19,OptionsTable[Name],OptionsTable[Skill],,,))</f>
        <v/>
      </c>
      <c r="P19" s="136">
        <f>_xlfn.XLOOKUP(A19,OptionsTable[Name],OptionsTable[Cost],,,)*F19</f>
        <v>0</v>
      </c>
      <c r="R19" s="7" t="s">
        <v>798</v>
      </c>
    </row>
    <row r="20" spans="1:26" ht="12" customHeight="1" x14ac:dyDescent="0.35">
      <c r="A20" s="191"/>
      <c r="B20" s="192"/>
      <c r="C20" s="192"/>
      <c r="D20" s="192"/>
      <c r="E20" s="100">
        <f>_xlfn.XLOOKUP(A20,OptionsTable[Name],OptionsTable[Slots],,,)</f>
        <v>0</v>
      </c>
      <c r="F20" s="37">
        <f>IF(_xlfn.XLOOKUP(A20,OptionsTable[Name],OptionsTable[xS],,,)=FALSE,1,0.5)</f>
        <v>1</v>
      </c>
      <c r="G20" s="37"/>
      <c r="H20" s="193" t="str">
        <f>IF(_xlfn.XLOOKUP(A20,OptionsTable[Name],OptionsTable[Notes],,,)="","",_xlfn.XLOOKUP(A20,OptionsTable[Name],OptionsTable[Notes],,,))</f>
        <v/>
      </c>
      <c r="I20" s="194"/>
      <c r="J20" s="194"/>
      <c r="K20" s="43">
        <f>_xlfn.XLOOKUP(A20,OptionsTable[Name],OptionsTable[TL],,,)</f>
        <v>0</v>
      </c>
      <c r="N20" s="5" t="str">
        <f>IF(_xlfn.XLOOKUP(A20,OptionsTable[Name],OptionsTable[Trait],,,)="","",_xlfn.XLOOKUP(A20,OptionsTable[Name],OptionsTable[Trait],,,))</f>
        <v/>
      </c>
      <c r="O20" s="5" t="str">
        <f>IF(_xlfn.XLOOKUP(A20,OptionsTable[Name],OptionsTable[Skill],,,)="","",_xlfn.XLOOKUP(A20,OptionsTable[Name],OptionsTable[Skill],,,))</f>
        <v/>
      </c>
      <c r="P20" s="136">
        <f>_xlfn.XLOOKUP(A20,OptionsTable[Name],OptionsTable[Cost],,,)*F20</f>
        <v>0</v>
      </c>
      <c r="R20" s="200"/>
      <c r="S20" s="201"/>
      <c r="T20" s="201"/>
      <c r="U20" s="201"/>
      <c r="V20" s="201"/>
      <c r="W20" s="201"/>
      <c r="X20" s="201"/>
      <c r="Y20" s="201"/>
      <c r="Z20" s="202"/>
    </row>
    <row r="21" spans="1:26" ht="12" customHeight="1" x14ac:dyDescent="0.35">
      <c r="A21" s="191"/>
      <c r="B21" s="192"/>
      <c r="C21" s="192"/>
      <c r="D21" s="192"/>
      <c r="E21" s="100">
        <f>_xlfn.XLOOKUP(A21,OptionsTable[Name],OptionsTable[Slots],,,)</f>
        <v>0</v>
      </c>
      <c r="F21" s="37">
        <f>IF(_xlfn.XLOOKUP(A21,OptionsTable[Name],OptionsTable[xS],,,)=FALSE,1,0.5)</f>
        <v>1</v>
      </c>
      <c r="G21" s="37"/>
      <c r="H21" s="193" t="str">
        <f>IF(_xlfn.XLOOKUP(A21,OptionsTable[Name],OptionsTable[Notes],,,)="","",_xlfn.XLOOKUP(A21,OptionsTable[Name],OptionsTable[Notes],,,))</f>
        <v/>
      </c>
      <c r="I21" s="194"/>
      <c r="J21" s="194"/>
      <c r="K21" s="43">
        <f>_xlfn.XLOOKUP(A21,OptionsTable[Name],OptionsTable[TL],,,)</f>
        <v>0</v>
      </c>
      <c r="N21" s="5" t="str">
        <f>IF(_xlfn.XLOOKUP(A21,OptionsTable[Name],OptionsTable[Trait],,,)="","",_xlfn.XLOOKUP(A21,OptionsTable[Name],OptionsTable[Trait],,,))</f>
        <v/>
      </c>
      <c r="O21" s="5" t="str">
        <f>IF(_xlfn.XLOOKUP(A21,OptionsTable[Name],OptionsTable[Skill],,,)="","",_xlfn.XLOOKUP(A21,OptionsTable[Name],OptionsTable[Skill],,,))</f>
        <v/>
      </c>
      <c r="P21" s="136">
        <f>_xlfn.XLOOKUP(A21,OptionsTable[Name],OptionsTable[Cost],,,)*F21</f>
        <v>0</v>
      </c>
      <c r="R21" s="203"/>
      <c r="S21" s="204"/>
      <c r="T21" s="204"/>
      <c r="U21" s="204"/>
      <c r="V21" s="204"/>
      <c r="W21" s="204"/>
      <c r="X21" s="204"/>
      <c r="Y21" s="204"/>
      <c r="Z21" s="205"/>
    </row>
    <row r="22" spans="1:26" ht="12" customHeight="1" x14ac:dyDescent="0.35">
      <c r="A22" s="191"/>
      <c r="B22" s="192"/>
      <c r="C22" s="192"/>
      <c r="D22" s="192"/>
      <c r="E22" s="100">
        <f>_xlfn.XLOOKUP(A22,OptionsTable[Name],OptionsTable[Slots],,,)</f>
        <v>0</v>
      </c>
      <c r="F22" s="37">
        <f>IF(_xlfn.XLOOKUP(A22,OptionsTable[Name],OptionsTable[xS],,,)=FALSE,1,0.5)</f>
        <v>1</v>
      </c>
      <c r="G22" s="37"/>
      <c r="H22" s="193" t="str">
        <f>IF(_xlfn.XLOOKUP(A22,OptionsTable[Name],OptionsTable[Notes],,,)="","",_xlfn.XLOOKUP(A22,OptionsTable[Name],OptionsTable[Notes],,,))</f>
        <v/>
      </c>
      <c r="I22" s="194"/>
      <c r="J22" s="194"/>
      <c r="K22" s="43">
        <f>_xlfn.XLOOKUP(A22,OptionsTable[Name],OptionsTable[TL],,,)</f>
        <v>0</v>
      </c>
      <c r="N22" s="5" t="str">
        <f>IF(_xlfn.XLOOKUP(A22,OptionsTable[Name],OptionsTable[Trait],,,)="","",_xlfn.XLOOKUP(A22,OptionsTable[Name],OptionsTable[Trait],,,))</f>
        <v/>
      </c>
      <c r="O22" s="5" t="str">
        <f>IF(_xlfn.XLOOKUP(A22,OptionsTable[Name],OptionsTable[Skill],,,)="","",_xlfn.XLOOKUP(A22,OptionsTable[Name],OptionsTable[Skill],,,))</f>
        <v/>
      </c>
      <c r="P22" s="136">
        <f>_xlfn.XLOOKUP(A22,OptionsTable[Name],OptionsTable[Cost],,,)*F22</f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191"/>
      <c r="B23" s="192"/>
      <c r="C23" s="192"/>
      <c r="D23" s="192"/>
      <c r="E23" s="100">
        <f>_xlfn.XLOOKUP(A23,OptionsTable[Name],OptionsTable[Slots],,,)</f>
        <v>0</v>
      </c>
      <c r="F23" s="37">
        <f>IF(_xlfn.XLOOKUP(A23,OptionsTable[Name],OptionsTable[xS],,,)=FALSE,1,0.5)</f>
        <v>1</v>
      </c>
      <c r="G23" s="37"/>
      <c r="H23" s="193" t="str">
        <f>IF(_xlfn.XLOOKUP(A23,OptionsTable[Name],OptionsTable[Notes],,,)="","",_xlfn.XLOOKUP(A23,OptionsTable[Name],OptionsTable[Notes],,,))</f>
        <v/>
      </c>
      <c r="I23" s="194"/>
      <c r="J23" s="194"/>
      <c r="K23" s="43">
        <f>_xlfn.XLOOKUP(A23,OptionsTable[Name],OptionsTable[TL],,,)</f>
        <v>0</v>
      </c>
      <c r="N23" s="5" t="str">
        <f>IF(_xlfn.XLOOKUP(A23,OptionsTable[Name],OptionsTable[Trait],,,)="","",_xlfn.XLOOKUP(A23,OptionsTable[Name],OptionsTable[Trait],,,))</f>
        <v/>
      </c>
      <c r="O23" s="5" t="str">
        <f>IF(_xlfn.XLOOKUP(A23,OptionsTable[Name],OptionsTable[Skill],,,)="","",_xlfn.XLOOKUP(A23,OptionsTable[Name],OptionsTable[Skill],,,))</f>
        <v/>
      </c>
      <c r="P23" s="136">
        <f>_xlfn.XLOOKUP(A23,OptionsTable[Name],OptionsTable[Cost],,,)*F23</f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191"/>
      <c r="B24" s="192"/>
      <c r="C24" s="192"/>
      <c r="D24" s="192"/>
      <c r="E24" s="100">
        <f>_xlfn.XLOOKUP(A24,OptionsTable[Name],OptionsTable[Slots],,,)</f>
        <v>0</v>
      </c>
      <c r="F24" s="37">
        <f>IF(_xlfn.XLOOKUP(A24,OptionsTable[Name],OptionsTable[xS],,,)=FALSE,1,0.5)</f>
        <v>1</v>
      </c>
      <c r="G24" s="37"/>
      <c r="H24" s="193" t="str">
        <f>IF(_xlfn.XLOOKUP(A24,OptionsTable[Name],OptionsTable[Notes],,,)="","",_xlfn.XLOOKUP(A24,OptionsTable[Name],OptionsTable[Notes],,,))</f>
        <v/>
      </c>
      <c r="I24" s="194"/>
      <c r="J24" s="194"/>
      <c r="K24" s="43">
        <f>_xlfn.XLOOKUP(A24,OptionsTable[Name],OptionsTable[TL],,,)</f>
        <v>0</v>
      </c>
      <c r="N24" s="5" t="str">
        <f>IF(_xlfn.XLOOKUP(A24,OptionsTable[Name],OptionsTable[Trait],,,)="","",_xlfn.XLOOKUP(A24,OptionsTable[Name],OptionsTable[Trait],,,))</f>
        <v/>
      </c>
      <c r="O24" s="5" t="str">
        <f>IF(_xlfn.XLOOKUP(A24,OptionsTable[Name],OptionsTable[Skill],,,)="","",_xlfn.XLOOKUP(A24,OptionsTable[Name],OptionsTable[Skill],,,))</f>
        <v/>
      </c>
      <c r="P24" s="136">
        <f>_xlfn.XLOOKUP(A24,OptionsTable[Name],OptionsTable[Cost],,,)*F24</f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191"/>
      <c r="B25" s="192"/>
      <c r="C25" s="192"/>
      <c r="D25" s="192"/>
      <c r="E25" s="100">
        <f>_xlfn.XLOOKUP(A25,OptionsTable[Name],OptionsTable[Slots],,,)</f>
        <v>0</v>
      </c>
      <c r="F25" s="37">
        <f>IF(_xlfn.XLOOKUP(A25,OptionsTable[Name],OptionsTable[xS],,,)=FALSE,1,0.5)</f>
        <v>1</v>
      </c>
      <c r="G25" s="37"/>
      <c r="H25" s="193" t="str">
        <f>IF(_xlfn.XLOOKUP(A25,OptionsTable[Name],OptionsTable[Notes],,,)="","",_xlfn.XLOOKUP(A25,OptionsTable[Name],OptionsTable[Notes],,,))</f>
        <v/>
      </c>
      <c r="I25" s="194"/>
      <c r="J25" s="194"/>
      <c r="K25" s="43">
        <f>_xlfn.XLOOKUP(A25,OptionsTable[Name],OptionsTable[TL],,,)</f>
        <v>0</v>
      </c>
      <c r="N25" s="5" t="str">
        <f>IF(_xlfn.XLOOKUP(A25,OptionsTable[Name],OptionsTable[Trait],,,)="","",_xlfn.XLOOKUP(A25,OptionsTable[Name],OptionsTable[Trait],,,))</f>
        <v/>
      </c>
      <c r="O25" s="5" t="str">
        <f>IF(_xlfn.XLOOKUP(A25,OptionsTable[Name],OptionsTable[Skill],,,)="","",_xlfn.XLOOKUP(A25,OptionsTable[Name],OptionsTable[Skill],,,))</f>
        <v/>
      </c>
      <c r="P25" s="136">
        <f>_xlfn.XLOOKUP(A25,OptionsTable[Name],OptionsTable[Cost],,,)*F25</f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x14ac:dyDescent="0.35">
      <c r="A26" s="191"/>
      <c r="B26" s="192"/>
      <c r="C26" s="192"/>
      <c r="D26" s="192"/>
      <c r="E26" s="100">
        <f>_xlfn.XLOOKUP(A26,OptionsTable[Name],OptionsTable[Slots],,,)</f>
        <v>0</v>
      </c>
      <c r="F26" s="37">
        <f>IF(_xlfn.XLOOKUP(A26,OptionsTable[Name],OptionsTable[xS],,,)=FALSE,1,0.5)</f>
        <v>1</v>
      </c>
      <c r="G26" s="37"/>
      <c r="H26" s="193" t="str">
        <f>IF(_xlfn.XLOOKUP(A26,OptionsTable[Name],OptionsTable[Notes],,,)="","",_xlfn.XLOOKUP(A26,OptionsTable[Name],OptionsTable[Notes],,,))</f>
        <v/>
      </c>
      <c r="I26" s="194"/>
      <c r="J26" s="194"/>
      <c r="K26" s="43">
        <f>_xlfn.XLOOKUP(A26,OptionsTable[Name],OptionsTable[TL],,,)</f>
        <v>0</v>
      </c>
      <c r="N26" s="5" t="str">
        <f>IF(_xlfn.XLOOKUP(A26,OptionsTable[Name],OptionsTable[Trait],,,)="","",_xlfn.XLOOKUP(A26,OptionsTable[Name],OptionsTable[Trait],,,))</f>
        <v/>
      </c>
      <c r="O26" s="5" t="str">
        <f>IF(_xlfn.XLOOKUP(A26,OptionsTable[Name],OptionsTable[Skill],,,)="","",_xlfn.XLOOKUP(A26,OptionsTable[Name],OptionsTable[Skill],,,))</f>
        <v/>
      </c>
      <c r="P26" s="136">
        <f>_xlfn.XLOOKUP(A26,OptionsTable[Name],OptionsTable[Cost],,,)*F26</f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191"/>
      <c r="B27" s="192"/>
      <c r="C27" s="192"/>
      <c r="D27" s="192"/>
      <c r="E27" s="100">
        <f>_xlfn.XLOOKUP(A27,OptionsTable[Name],OptionsTable[Slots],,,)</f>
        <v>0</v>
      </c>
      <c r="F27" s="37">
        <f>IF(_xlfn.XLOOKUP(A27,OptionsTable[Name],OptionsTable[xS],,,)=FALSE,1,0.5)</f>
        <v>1</v>
      </c>
      <c r="G27" s="37"/>
      <c r="H27" s="193" t="str">
        <f>IF(_xlfn.XLOOKUP(A27,OptionsTable[Name],OptionsTable[Notes],,,)="","",_xlfn.XLOOKUP(A27,OptionsTable[Name],OptionsTable[Notes],,,))</f>
        <v/>
      </c>
      <c r="I27" s="194"/>
      <c r="J27" s="194"/>
      <c r="K27" s="43">
        <f>_xlfn.XLOOKUP(A27,OptionsTable[Name],OptionsTable[TL],,,)</f>
        <v>0</v>
      </c>
      <c r="N27" s="5" t="str">
        <f>IF(_xlfn.XLOOKUP(A27,OptionsTable[Name],OptionsTable[Trait],,,)="","",_xlfn.XLOOKUP(A27,OptionsTable[Name],OptionsTable[Trait],,,))</f>
        <v/>
      </c>
      <c r="O27" s="5" t="str">
        <f>IF(_xlfn.XLOOKUP(A27,OptionsTable[Name],OptionsTable[Skill],,,)="","",_xlfn.XLOOKUP(A27,OptionsTable[Name],OptionsTable[Skill],,,))</f>
        <v/>
      </c>
      <c r="P27" s="136">
        <f>_xlfn.XLOOKUP(A27,OptionsTable[Name],OptionsTable[Cost],,,)*F27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x14ac:dyDescent="0.35">
      <c r="A28" s="191"/>
      <c r="B28" s="192"/>
      <c r="C28" s="192"/>
      <c r="D28" s="192"/>
      <c r="E28" s="100">
        <f>_xlfn.XLOOKUP(A28,OptionsTable[Name],OptionsTable[Slots],,,)</f>
        <v>0</v>
      </c>
      <c r="F28" s="37">
        <f>IF(_xlfn.XLOOKUP(A28,OptionsTable[Name],OptionsTable[xS],,,)=FALSE,1,0.5)</f>
        <v>1</v>
      </c>
      <c r="G28" s="37"/>
      <c r="H28" s="193" t="str">
        <f>IF(_xlfn.XLOOKUP(A28,OptionsTable[Name],OptionsTable[Notes],,,)="","",_xlfn.XLOOKUP(A28,OptionsTable[Name],OptionsTable[Notes],,,))</f>
        <v/>
      </c>
      <c r="I28" s="194"/>
      <c r="J28" s="194"/>
      <c r="K28" s="43">
        <f>_xlfn.XLOOKUP(A28,OptionsTable[Name],OptionsTable[TL],,,)</f>
        <v>0</v>
      </c>
      <c r="N28" s="5" t="str">
        <f>IF(_xlfn.XLOOKUP(A28,OptionsTable[Name],OptionsTable[Trait],,,)="","",_xlfn.XLOOKUP(A28,OptionsTable[Name],OptionsTable[Trait],,,))</f>
        <v/>
      </c>
      <c r="O28" s="5" t="str">
        <f>IF(_xlfn.XLOOKUP(A28,OptionsTable[Name],OptionsTable[Skill],,,)="","",_xlfn.XLOOKUP(A28,OptionsTable[Name],OptionsTable[Skill],,,))</f>
        <v/>
      </c>
      <c r="P28" s="136">
        <f>_xlfn.XLOOKUP(A28,OptionsTable[Name],OptionsTable[Cost],,,)*F28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x14ac:dyDescent="0.35">
      <c r="A29" s="191"/>
      <c r="B29" s="192"/>
      <c r="C29" s="192"/>
      <c r="D29" s="192"/>
      <c r="E29" s="100">
        <f>_xlfn.XLOOKUP(A29,OptionsTable[Name],OptionsTable[Slots],,,)</f>
        <v>0</v>
      </c>
      <c r="F29" s="37">
        <f>IF(_xlfn.XLOOKUP(A29,OptionsTable[Name],OptionsTable[xS],,,)=FALSE,1,0.5)</f>
        <v>1</v>
      </c>
      <c r="G29" s="37"/>
      <c r="H29" s="193" t="str">
        <f>IF(_xlfn.XLOOKUP(A29,OptionsTable[Name],OptionsTable[Notes],,,)="","",_xlfn.XLOOKUP(A29,OptionsTable[Name],OptionsTable[Notes],,,))</f>
        <v/>
      </c>
      <c r="I29" s="194"/>
      <c r="J29" s="194"/>
      <c r="K29" s="43">
        <f>_xlfn.XLOOKUP(A29,OptionsTable[Name],OptionsTable[TL],,,)</f>
        <v>0</v>
      </c>
      <c r="N29" s="5" t="str">
        <f>IF(_xlfn.XLOOKUP(A29,OptionsTable[Name],OptionsTable[Trait],,,)="","",_xlfn.XLOOKUP(A29,OptionsTable[Name],OptionsTable[Trait],,,))</f>
        <v/>
      </c>
      <c r="O29" s="5" t="str">
        <f>IF(_xlfn.XLOOKUP(A29,OptionsTable[Name],OptionsTable[Skill],,,)="","",_xlfn.XLOOKUP(A29,OptionsTable[Name],OptionsTable[Skill],,,))</f>
        <v/>
      </c>
      <c r="P29" s="136">
        <f>_xlfn.XLOOKUP(A29,OptionsTable[Name],OptionsTable[Cost],,,)*F29</f>
        <v>0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/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IF(_xlfn.XLOOKUP(A30,OptionsTable[Name],OptionsTable[xS],,,)=FALSE,1,0.5)</f>
        <v>1</v>
      </c>
      <c r="G30" s="37"/>
      <c r="H30" s="193" t="str">
        <f>IF(_xlfn.XLOOKUP(A30,OptionsTable[Name],OptionsTable[Notes],,,)="","",_xlfn.XLOOKUP(A30,OptionsTable[Name],OptionsTable[Notes],,,))</f>
        <v/>
      </c>
      <c r="I30" s="194"/>
      <c r="J30" s="194"/>
      <c r="K30" s="43">
        <f>_xlfn.XLOOKUP(A30,OptionsTable[Name],OptionsTable[TL],,,)</f>
        <v>0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_xlfn.XLOOKUP(A30,OptionsTable[Name],OptionsTable[Cost],,,)*F30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thickBot="1" x14ac:dyDescent="0.4">
      <c r="E31" s="39"/>
      <c r="F31" s="37"/>
      <c r="K31" s="39"/>
      <c r="P31" s="133"/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thickBot="1" x14ac:dyDescent="0.4">
      <c r="A32" s="63" t="s">
        <v>65</v>
      </c>
      <c r="B32" s="63"/>
      <c r="C32" s="63"/>
      <c r="D32" s="63"/>
      <c r="E32" s="64" t="s">
        <v>10</v>
      </c>
      <c r="F32" s="38"/>
      <c r="G32" s="63"/>
      <c r="H32" s="63" t="s">
        <v>48</v>
      </c>
      <c r="I32" s="63" t="s">
        <v>153</v>
      </c>
      <c r="J32" s="77" t="s">
        <v>402</v>
      </c>
      <c r="K32" s="76" t="s">
        <v>4</v>
      </c>
      <c r="L32" s="65" t="s">
        <v>89</v>
      </c>
      <c r="M32" s="63"/>
      <c r="N32" s="63" t="s">
        <v>25</v>
      </c>
      <c r="O32" s="63" t="s">
        <v>90</v>
      </c>
      <c r="P32" s="134" t="s">
        <v>5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92" t="s">
        <v>309</v>
      </c>
      <c r="B33" s="223" t="s">
        <v>3</v>
      </c>
      <c r="C33" s="224"/>
      <c r="D33" s="224"/>
      <c r="E33" s="39"/>
      <c r="F33" s="37"/>
      <c r="H33" s="1">
        <f>_xlfn.XLOOKUP(B33,MicrobotBrains[Programming/Control],MicrobotBrains[Base INT],,,)</f>
        <v>6</v>
      </c>
      <c r="I33" s="31">
        <f>IF(H33&gt;17,4,IF(H33&gt;14,3,IF(H33&gt;11,2,IF(H33&gt;8,1,IF(H33&gt;5,0,IF(H33&gt;2,-1,-2))))))</f>
        <v>0</v>
      </c>
      <c r="J33" s="1">
        <f>_xlfn.XLOOKUP(B33,MicrobotBrains[Programming/Control],MicrobotBrains[Computer/X],,,)</f>
        <v>2</v>
      </c>
      <c r="K33" s="43">
        <f>_xlfn.XLOOKUP(B33,MicrobotBrains[Programming/Control],MicrobotBrains[TL],,,)</f>
        <v>12</v>
      </c>
      <c r="L33">
        <f>_xlfn.XLOOKUP(B33,MicrobotBrains[Programming/Control],MicrobotBrains[Computer/X],,,)</f>
        <v>2</v>
      </c>
      <c r="M33" s="12" t="str">
        <f>_xlfn.XLOOKUP(B33,MicrobotBrains[Programming/Control],MicrobotBrains[Base capability (built-in no bandwidth, cumulative)],,,)</f>
        <v>Intelligent Interface, Expert/1, Security/1</v>
      </c>
      <c r="N33" s="12"/>
      <c r="O33" s="12" t="str">
        <f>IF(_xlfn.XLOOKUP(B33,MicrobotBrains[Programming/Control],MicrobotBrains[Skill],,,)="","",_xlfn.XLOOKUP(B33,MicrobotBrains[Programming/Control],MicrobotBrains[Skill],,,))</f>
        <v/>
      </c>
      <c r="P33" s="136">
        <f>_xlfn.XLOOKUP(B33,MicrobotBrains[Programming/Control],MicrobotBrains[Cost],,,)*IF(L33&gt;2,2/(2)^(1+O2-K33),1)</f>
        <v>10000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x14ac:dyDescent="0.35">
      <c r="A34" s="92" t="s">
        <v>720</v>
      </c>
      <c r="B34" s="29">
        <v>0</v>
      </c>
      <c r="E34" s="39"/>
      <c r="F34" s="37" cm="1">
        <f t="array" ref="F34">_xlfn.IFS(B34=0,0,B34=1,-1,B34=2,-3,B34=3,-6)</f>
        <v>0</v>
      </c>
      <c r="H34" s="6">
        <f>H33+B34</f>
        <v>6</v>
      </c>
      <c r="I34" s="15">
        <f>IF(H34&gt;17,4,IF(H34&gt;14,3,IF(H34&gt;11,2,IF(H34&gt;8,1,IF(H34&gt;5,0,IF(H34&gt;2,-1,-2))))))</f>
        <v>0</v>
      </c>
      <c r="K34" s="43"/>
      <c r="L34" s="55">
        <f>L33+F34</f>
        <v>2</v>
      </c>
      <c r="M34" t="s">
        <v>310</v>
      </c>
      <c r="P34" s="136" cm="1">
        <f t="array" ref="P34">_xlfn.IFS(B34=0,0,B34=1,(H33+1)*1000,B34=2,(H33+1)*(H33+2)*1000,B34=3,(H33+1)*(H33+2)*(H33+3)*1000)*IF(H34&gt;11,2,1)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92" t="s">
        <v>308</v>
      </c>
      <c r="B35" s="28" t="b">
        <v>0</v>
      </c>
      <c r="C35" s="24"/>
      <c r="D35" s="24"/>
      <c r="E35" s="40"/>
      <c r="F35" s="38"/>
      <c r="G35" s="24"/>
      <c r="H35" s="46"/>
      <c r="I35" s="24"/>
      <c r="J35" s="104">
        <f>J33-COUNTIF(G41:G47,0)</f>
        <v>2</v>
      </c>
      <c r="K35" s="42"/>
      <c r="L35" s="56">
        <f>L34-SUM(G37:G47)</f>
        <v>2</v>
      </c>
      <c r="M35" s="24" t="s">
        <v>312</v>
      </c>
      <c r="N35" s="25" t="str">
        <f>IF(B35,"Hardened, ","")</f>
        <v/>
      </c>
      <c r="O35" s="24"/>
      <c r="P35" s="135">
        <f>B35*(P33)*0.5</f>
        <v>0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thickBot="1" x14ac:dyDescent="0.4">
      <c r="A36" s="63" t="s">
        <v>116</v>
      </c>
      <c r="B36" s="63"/>
      <c r="C36" s="63"/>
      <c r="D36" s="63"/>
      <c r="E36" s="64"/>
      <c r="F36" s="64"/>
      <c r="G36" s="64" t="s">
        <v>89</v>
      </c>
      <c r="H36" s="63"/>
      <c r="I36" s="63"/>
      <c r="J36" s="63"/>
      <c r="K36" s="63"/>
      <c r="L36" s="63"/>
      <c r="M36" s="63"/>
      <c r="N36" s="63"/>
      <c r="O36" s="63"/>
      <c r="P36" s="134" t="s">
        <v>5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92" t="s">
        <v>14</v>
      </c>
      <c r="B37" s="191" t="s">
        <v>117</v>
      </c>
      <c r="C37" s="192"/>
      <c r="D37" s="192"/>
      <c r="E37" s="39"/>
      <c r="G37" s="58">
        <f>_xlfn.XLOOKUP(B37,PrimitiveBrain[Name],PrimitiveBrain[Bandwidth],,,)</f>
        <v>0</v>
      </c>
      <c r="K37" s="43">
        <f>_xlfn.XLOOKUP(B37,PrimitiveBrain[Name],PrimitiveBrain[TL],,,)</f>
        <v>0</v>
      </c>
      <c r="N37" s="12" t="str">
        <f>IF(B37="Alert","Alarm, ","")</f>
        <v/>
      </c>
      <c r="O37" s="12" t="str">
        <f>IF(_xlfn.XLOOKUP(B37,PrimitiveBrain[Name],PrimitiveBrain[Skill],,,)="","",_xlfn.XLOOKUP(B37,PrimitiveBrain[Name],PrimitiveBrain[Skill],,,))</f>
        <v/>
      </c>
      <c r="P37" s="136">
        <f>_xlfn.XLOOKUP(B37,PrimitiveBrain[Name],PrimitiveBrain[Cr],,,)</f>
        <v>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92" t="s">
        <v>0</v>
      </c>
      <c r="B38" s="191" t="s">
        <v>117</v>
      </c>
      <c r="C38" s="192"/>
      <c r="D38" s="192"/>
      <c r="E38" s="39"/>
      <c r="G38" s="58">
        <f>_xlfn.XLOOKUP(B38,BasicBrain[Name],BasicBrain[Bandwidth],,,)</f>
        <v>0</v>
      </c>
      <c r="K38" s="43">
        <f>_xlfn.XLOOKUP(B38,BasicBrain[Name],BasicBrain[TL],,,)</f>
        <v>0</v>
      </c>
      <c r="N38" s="12" t="str">
        <f>IF(B38="Basic (security)","Alarm, ","")</f>
        <v/>
      </c>
      <c r="O38" s="5" t="str">
        <f>IF(_xlfn.XLOOKUP(B38,BasicBrain[Name],BasicBrain[Skill],,,)="","",_xlfn.XLOOKUP(B38,BasicBrain[Name],BasicBrain[Skill],,,))</f>
        <v/>
      </c>
      <c r="P38" s="136">
        <f>_xlfn.XLOOKUP(B38,BasicBrain[Name],BasicBrain[Cr],,,)</f>
        <v>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thickBot="1" x14ac:dyDescent="0.4">
      <c r="A39" s="92" t="s">
        <v>108</v>
      </c>
      <c r="B39" s="230" t="s">
        <v>117</v>
      </c>
      <c r="C39" s="231"/>
      <c r="D39" s="231"/>
      <c r="E39" s="41"/>
      <c r="F39" s="13"/>
      <c r="G39" s="58">
        <f>_xlfn.XLOOKUP(B39,HunterKillerBrain[Name],HunterKillerBrain[Bandwidth],,,)</f>
        <v>0</v>
      </c>
      <c r="H39" s="13"/>
      <c r="I39" s="13"/>
      <c r="J39" s="13"/>
      <c r="K39" s="45">
        <f>_xlfn.XLOOKUP(B39,HunterKillerBrain[Name],HunterKillerBrain[TL],,,)</f>
        <v>0</v>
      </c>
      <c r="L39" s="4"/>
      <c r="M39" s="13"/>
      <c r="N39" s="13"/>
      <c r="O39" s="14" t="str">
        <f>IF(_xlfn.XLOOKUP(B39,HunterKillerBrain[Name],HunterKillerBrain[Skill],,,)="","",_xlfn.XLOOKUP(B39,HunterKillerBrain[Name],HunterKillerBrain[Skill],,,))</f>
        <v/>
      </c>
      <c r="P39" s="136">
        <f>_xlfn.XLOOKUP(B39,HunterKillerBrain[Name],HunterKillerBrain[Cr],,,)</f>
        <v>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thickBot="1" x14ac:dyDescent="0.4">
      <c r="A40" s="63" t="s">
        <v>114</v>
      </c>
      <c r="B40" s="63" t="s">
        <v>361</v>
      </c>
      <c r="C40" s="63"/>
      <c r="D40" s="63" t="s">
        <v>6</v>
      </c>
      <c r="E40" s="64"/>
      <c r="F40" s="64"/>
      <c r="G40" s="64" t="s">
        <v>89</v>
      </c>
      <c r="H40" s="63"/>
      <c r="I40" s="63" t="s">
        <v>314</v>
      </c>
      <c r="J40" s="77"/>
      <c r="K40" s="76" t="s">
        <v>4</v>
      </c>
      <c r="L40" s="65"/>
      <c r="M40" s="63"/>
      <c r="N40" s="63"/>
      <c r="O40" s="63" t="s">
        <v>307</v>
      </c>
      <c r="P40" s="134" t="s">
        <v>5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47" t="s">
        <v>117</v>
      </c>
      <c r="B41" s="225"/>
      <c r="C41" s="226"/>
      <c r="D41" s="57"/>
      <c r="E41" s="39"/>
      <c r="G41" s="59" t="str">
        <f>IF(A41="N/A","",IF(AND(A41="Science ()",B41="all"),(D41+_xlfn.XLOOKUP(A41,StandardBrain[Name],StandardBrain[Bandwidth],,,))*8,IF(B41="all",(D41+_xlfn.XLOOKUP(A41,StandardBrain[Name],StandardBrain[Bandwidth],,,))*4,IF(A41="N/A","",D41+_xlfn.XLOOKUP(A41,StandardBrain[Name],StandardBrain[Bandwidth],,,)))))</f>
        <v/>
      </c>
      <c r="I41" s="58" t="str">
        <f>_xlfn.XLOOKUP(A41,StandardBrain[Name],StandardBrain[Characteristic],,,)</f>
        <v xml:space="preserve"> </v>
      </c>
      <c r="K41" s="43">
        <f>_xlfn.XLOOKUP(A41,StandardBrain[Name],StandardBrain[TL],,,)+D41</f>
        <v>0</v>
      </c>
      <c r="O41" s="12" t="str">
        <f>IF(_xlfn.XLOOKUP(A41,StandardBrain[Name],StandardBrain[Skill],,,)="","",_xlfn.CONCAT(_xlfn.XLOOKUP(A41,StandardBrain[Name],StandardBrain[Skill],,,),IF(RIGHT(_xlfn.XLOOKUP(A41,StandardBrain[Name],StandardBrain[Skill],,,),1)="(",IF(AND(B41="all",D41=0),"",B41),""),IF(RIGHT(_xlfn.XLOOKUP(A41,StandardBrain[Name],StandardBrain[Skill],,,),1)="(",")","")," ",D41+IF(_xlfn.XLOOKUP(A41,StandardBrain[Name],StandardBrain[Characteristic],,,)="INT",$I$34,IF(ROUNDUP($O$2/2+1,0)&gt;29,8,IF(ROUNDUP($O$2/2+1,0)&gt;26,7,IF(ROUNDUP($O$2/2+1,0)&gt;23,6,IF(ROUNDUP($O$2/2+1,0)&gt;20,5,IF(ROUNDUP($O$2/2+1,0)&gt;17,4,IF(ROUNDUP($O$2/2+1,0)&gt;14,3,IF(ROUNDUP($O$2/2+1,0)&gt;11,2,IF(ROUNDUP($O$2/2+1,0)&gt;8,1,IF(ROUNDUP($O$2/2+1,0)&gt;5,0,IF(ROUNDUP($O$2/2+1,0)&gt;2,-1,-2))))))))))),", "))</f>
        <v/>
      </c>
      <c r="P41" s="138">
        <f>IF(AND(A41="Science ()",B41="all"),(_xlfn.XLOOKUP(A41,StandardBrain[Name],StandardBrain[Cr],,,)*10^(D41))*8,IF(B41="all",(_xlfn.XLOOKUP(A41,StandardBrain[Name],StandardBrain[Cr],,,)*10^(D41))*4,IF(A41="N/A",0,_xlfn.XLOOKUP(A41,StandardBrain[Name],StandardBrain[Cr],,,)*10^(D41))))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30" t="s">
        <v>117</v>
      </c>
      <c r="B42" s="193"/>
      <c r="C42" s="227"/>
      <c r="D42" s="57"/>
      <c r="E42" s="39"/>
      <c r="G42" s="59" t="str">
        <f>IF(A42="N/A","",IF(AND(A42="Science ()",B42="all"),(D42+_xlfn.XLOOKUP(A42,StandardBrain[Name],StandardBrain[Bandwidth],,,))*8,IF(B42="all",(D42+_xlfn.XLOOKUP(A42,StandardBrain[Name],StandardBrain[Bandwidth],,,))*4,IF(A42="N/A","",D42+_xlfn.XLOOKUP(A42,StandardBrain[Name],StandardBrain[Bandwidth],,,)))))</f>
        <v/>
      </c>
      <c r="I42" s="58" t="str">
        <f>_xlfn.XLOOKUP(A42,StandardBrain[Name],StandardBrain[Characteristic],,,)</f>
        <v xml:space="preserve"> </v>
      </c>
      <c r="K42" s="43">
        <f>_xlfn.XLOOKUP(A42,StandardBrain[Name],StandardBrain[TL],,,)+D42</f>
        <v>0</v>
      </c>
      <c r="O42" s="12" t="str">
        <f>IF(_xlfn.XLOOKUP(A42,StandardBrain[Name],StandardBrain[Skill],,,)="","",_xlfn.CONCAT(_xlfn.XLOOKUP(A42,StandardBrain[Name],StandardBrain[Skill],,,),IF(RIGHT(_xlfn.XLOOKUP(A42,StandardBrain[Name],StandardBrain[Skill],,,),1)="(",IF(AND(B42="all",D42=0),"",B42),""),IF(RIGHT(_xlfn.XLOOKUP(A42,StandardBrain[Name],StandardBrain[Skill],,,),1)="(",")","")," ",D42+IF(_xlfn.XLOOKUP(A42,StandardBrain[Name],StandardBrain[Characteristic],,,)="INT",$I$34,IF(ROUNDUP($O$2/2+1,0)&gt;29,8,IF(ROUNDUP($O$2/2+1,0)&gt;26,7,IF(ROUNDUP($O$2/2+1,0)&gt;23,6,IF(ROUNDUP($O$2/2+1,0)&gt;20,5,IF(ROUNDUP($O$2/2+1,0)&gt;17,4,IF(ROUNDUP($O$2/2+1,0)&gt;14,3,IF(ROUNDUP($O$2/2+1,0)&gt;11,2,IF(ROUNDUP($O$2/2+1,0)&gt;8,1,IF(ROUNDUP($O$2/2+1,0)&gt;5,0,IF(ROUNDUP($O$2/2+1,0)&gt;2,-1,-2))))))))))),", "))</f>
        <v/>
      </c>
      <c r="P42" s="138">
        <f>IF(AND(A42="Science ()",B42="all"),(_xlfn.XLOOKUP(A42,StandardBrain[Name],StandardBrain[Cr],,,)*10^(D42))*8,IF(B42="all",(_xlfn.XLOOKUP(A42,StandardBrain[Name],StandardBrain[Cr],,,)*10^(D42))*4,IF(A42="N/A",0,_xlfn.XLOOKUP(A42,StandardBrain[Name],StandardBrain[Cr],,,)*10^(D42))))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30" t="s">
        <v>117</v>
      </c>
      <c r="B43" s="193"/>
      <c r="C43" s="227"/>
      <c r="D43" s="57"/>
      <c r="E43" s="39"/>
      <c r="G43" s="59" t="str">
        <f>IF(A43="N/A","",IF(AND(A43="Science ()",B43="all"),(D43+_xlfn.XLOOKUP(A43,StandardBrain[Name],StandardBrain[Bandwidth],,,))*8,IF(B43="all",(D43+_xlfn.XLOOKUP(A43,StandardBrain[Name],StandardBrain[Bandwidth],,,))*4,IF(A43="N/A","",D43+_xlfn.XLOOKUP(A43,StandardBrain[Name],StandardBrain[Bandwidth],,,)))))</f>
        <v/>
      </c>
      <c r="I43" s="58" t="str">
        <f>_xlfn.XLOOKUP(A43,StandardBrain[Name],StandardBrain[Characteristic],,,)</f>
        <v xml:space="preserve"> </v>
      </c>
      <c r="K43" s="43">
        <f>_xlfn.XLOOKUP(A43,StandardBrain[Name],StandardBrain[TL],,,)+D43</f>
        <v>0</v>
      </c>
      <c r="O43" s="12" t="str">
        <f>IF(_xlfn.XLOOKUP(A43,StandardBrain[Name],StandardBrain[Skill],,,)="","",_xlfn.CONCAT(_xlfn.XLOOKUP(A43,StandardBrain[Name],StandardBrain[Skill],,,),IF(RIGHT(_xlfn.XLOOKUP(A43,StandardBrain[Name],StandardBrain[Skill],,,),1)="(",IF(AND(B43="all",D43=0),"",B43),""),IF(RIGHT(_xlfn.XLOOKUP(A43,StandardBrain[Name],StandardBrain[Skill],,,),1)="(",")","")," ",D43+IF(_xlfn.XLOOKUP(A43,StandardBrain[Name],StandardBrain[Characteristic],,,)="INT",$I$34,IF(ROUNDUP($O$2/2+1,0)&gt;29,8,IF(ROUNDUP($O$2/2+1,0)&gt;26,7,IF(ROUNDUP($O$2/2+1,0)&gt;23,6,IF(ROUNDUP($O$2/2+1,0)&gt;20,5,IF(ROUNDUP($O$2/2+1,0)&gt;17,4,IF(ROUNDUP($O$2/2+1,0)&gt;14,3,IF(ROUNDUP($O$2/2+1,0)&gt;11,2,IF(ROUNDUP($O$2/2+1,0)&gt;8,1,IF(ROUNDUP($O$2/2+1,0)&gt;5,0,IF(ROUNDUP($O$2/2+1,0)&gt;2,-1,-2))))))))))),", "))</f>
        <v/>
      </c>
      <c r="P43" s="138">
        <f>IF(AND(A43="Science ()",B43="all"),(_xlfn.XLOOKUP(A43,StandardBrain[Name],StandardBrain[Cr],,,)*10^(D43))*8,IF(B43="all",(_xlfn.XLOOKUP(A43,StandardBrain[Name],StandardBrain[Cr],,,)*10^(D43))*4,IF(A43="N/A",0,_xlfn.XLOOKUP(A43,StandardBrain[Name],StandardBrain[Cr],,,)*10^(D43))))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30" t="s">
        <v>117</v>
      </c>
      <c r="B44" s="193"/>
      <c r="C44" s="227"/>
      <c r="D44" s="57"/>
      <c r="E44" s="39"/>
      <c r="G44" s="59" t="str">
        <f>IF(A44="N/A","",IF(AND(A44="Science ()",B44="all"),(D44+_xlfn.XLOOKUP(A44,StandardBrain[Name],StandardBrain[Bandwidth],,,))*8,IF(B44="all",(D44+_xlfn.XLOOKUP(A44,StandardBrain[Name],StandardBrain[Bandwidth],,,))*4,IF(A44="N/A","",D44+_xlfn.XLOOKUP(A44,StandardBrain[Name],StandardBrain[Bandwidth],,,)))))</f>
        <v/>
      </c>
      <c r="I44" s="58" t="str">
        <f>_xlfn.XLOOKUP(A44,StandardBrain[Name],StandardBrain[Characteristic],,,)</f>
        <v xml:space="preserve"> </v>
      </c>
      <c r="K44" s="43">
        <f>_xlfn.XLOOKUP(A44,StandardBrain[Name],StandardBrain[TL],,,)+D44</f>
        <v>0</v>
      </c>
      <c r="O44" s="12" t="str">
        <f>IF(_xlfn.XLOOKUP(A44,StandardBrain[Name],StandardBrain[Skill],,,)="","",_xlfn.CONCAT(_xlfn.XLOOKUP(A44,StandardBrain[Name],StandardBrain[Skill],,,),IF(RIGHT(_xlfn.XLOOKUP(A44,StandardBrain[Name],StandardBrain[Skill],,,),1)="(",IF(AND(B44="all",D44=0),"",B44),""),IF(RIGHT(_xlfn.XLOOKUP(A44,StandardBrain[Name],StandardBrain[Skill],,,),1)="(",")","")," ",D44+IF(_xlfn.XLOOKUP(A44,StandardBrain[Name],StandardBrain[Characteristic],,,)="INT",$I$34,IF(ROUNDUP($O$2/2+1,0)&gt;29,8,IF(ROUNDUP($O$2/2+1,0)&gt;26,7,IF(ROUNDUP($O$2/2+1,0)&gt;23,6,IF(ROUNDUP($O$2/2+1,0)&gt;20,5,IF(ROUNDUP($O$2/2+1,0)&gt;17,4,IF(ROUNDUP($O$2/2+1,0)&gt;14,3,IF(ROUNDUP($O$2/2+1,0)&gt;11,2,IF(ROUNDUP($O$2/2+1,0)&gt;8,1,IF(ROUNDUP($O$2/2+1,0)&gt;5,0,IF(ROUNDUP($O$2/2+1,0)&gt;2,-1,-2))))))))))),", "))</f>
        <v/>
      </c>
      <c r="P44" s="138">
        <f>IF(AND(A44="Science ()",B44="all"),(_xlfn.XLOOKUP(A44,StandardBrain[Name],StandardBrain[Cr],,,)*10^(D44))*8,IF(B44="all",(_xlfn.XLOOKUP(A44,StandardBrain[Name],StandardBrain[Cr],,,)*10^(D44))*4,IF(A44="N/A",0,_xlfn.XLOOKUP(A44,StandardBrain[Name],StandardBrain[Cr],,,)*10^(D44))))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30" t="s">
        <v>117</v>
      </c>
      <c r="B45" s="193"/>
      <c r="C45" s="227"/>
      <c r="D45" s="57"/>
      <c r="E45" s="39"/>
      <c r="G45" s="59" t="str">
        <f>IF(A45="N/A","",IF(AND(A45="Science ()",B45="all"),(D45+_xlfn.XLOOKUP(A45,StandardBrain[Name],StandardBrain[Bandwidth],,,))*8,IF(B45="all",(D45+_xlfn.XLOOKUP(A45,StandardBrain[Name],StandardBrain[Bandwidth],,,))*4,IF(A45="N/A","",D45+_xlfn.XLOOKUP(A45,StandardBrain[Name],StandardBrain[Bandwidth],,,)))))</f>
        <v/>
      </c>
      <c r="I45" s="58" t="str">
        <f>_xlfn.XLOOKUP(A45,StandardBrain[Name],StandardBrain[Characteristic],,,)</f>
        <v xml:space="preserve"> </v>
      </c>
      <c r="K45" s="43">
        <f>_xlfn.XLOOKUP(A45,StandardBrain[Name],StandardBrain[TL],,,)+D45</f>
        <v>0</v>
      </c>
      <c r="O45" s="12" t="str">
        <f>IF(_xlfn.XLOOKUP(A45,StandardBrain[Name],StandardBrain[Skill],,,)="","",_xlfn.CONCAT(_xlfn.XLOOKUP(A45,StandardBrain[Name],StandardBrain[Skill],,,),IF(RIGHT(_xlfn.XLOOKUP(A45,StandardBrain[Name],StandardBrain[Skill],,,),1)="(",IF(AND(B45="all",D45=0),"",B45),""),IF(RIGHT(_xlfn.XLOOKUP(A45,StandardBrain[Name],StandardBrain[Skill],,,),1)="(",")","")," ",D45+IF(_xlfn.XLOOKUP(A45,StandardBrain[Name],StandardBrain[Characteristic],,,)="INT",$I$34,IF(ROUNDUP($O$2/2+1,0)&gt;29,8,IF(ROUNDUP($O$2/2+1,0)&gt;26,7,IF(ROUNDUP($O$2/2+1,0)&gt;23,6,IF(ROUNDUP($O$2/2+1,0)&gt;20,5,IF(ROUNDUP($O$2/2+1,0)&gt;17,4,IF(ROUNDUP($O$2/2+1,0)&gt;14,3,IF(ROUNDUP($O$2/2+1,0)&gt;11,2,IF(ROUNDUP($O$2/2+1,0)&gt;8,1,IF(ROUNDUP($O$2/2+1,0)&gt;5,0,IF(ROUNDUP($O$2/2+1,0)&gt;2,-1,-2))))))))))),", "))</f>
        <v/>
      </c>
      <c r="P45" s="138">
        <f>IF(AND(A45="Science ()",B45="all"),(_xlfn.XLOOKUP(A45,StandardBrain[Name],StandardBrain[Cr],,,)*10^(D45))*8,IF(B45="all",(_xlfn.XLOOKUP(A45,StandardBrain[Name],StandardBrain[Cr],,,)*10^(D45))*4,IF(A45="N/A",0,_xlfn.XLOOKUP(A45,StandardBrain[Name],StandardBrain[Cr],,,)*10^(D45))))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30" t="s">
        <v>117</v>
      </c>
      <c r="B46" s="193"/>
      <c r="C46" s="227"/>
      <c r="D46" s="57"/>
      <c r="E46" s="39"/>
      <c r="G46" s="59" t="str">
        <f>IF(A46="N/A","",IF(AND(A46="Science ()",B46="all"),(D46+_xlfn.XLOOKUP(A46,StandardBrain[Name],StandardBrain[Bandwidth],,,))*8,IF(B46="all",(D46+_xlfn.XLOOKUP(A46,StandardBrain[Name],StandardBrain[Bandwidth],,,))*4,IF(A46="N/A","",D46+_xlfn.XLOOKUP(A46,StandardBrain[Name],StandardBrain[Bandwidth],,,)))))</f>
        <v/>
      </c>
      <c r="I46" s="58" t="str">
        <f>_xlfn.XLOOKUP(A46,StandardBrain[Name],StandardBrain[Characteristic],,,)</f>
        <v xml:space="preserve"> </v>
      </c>
      <c r="K46" s="43">
        <f>_xlfn.XLOOKUP(A46,StandardBrain[Name],StandardBrain[TL],,,)+D46</f>
        <v>0</v>
      </c>
      <c r="O46" s="12" t="str">
        <f>IF(_xlfn.XLOOKUP(A46,StandardBrain[Name],StandardBrain[Skill],,,)="","",_xlfn.CONCAT(_xlfn.XLOOKUP(A46,StandardBrain[Name],StandardBrain[Skill],,,),IF(RIGHT(_xlfn.XLOOKUP(A46,StandardBrain[Name],StandardBrain[Skill],,,),1)="(",IF(AND(B46="all",D46=0),"",B46),""),IF(RIGHT(_xlfn.XLOOKUP(A46,StandardBrain[Name],StandardBrain[Skill],,,),1)="(",")","")," ",D46+IF(_xlfn.XLOOKUP(A46,StandardBrain[Name],StandardBrain[Characteristic],,,)="INT",$I$34,IF(ROUNDUP($O$2/2+1,0)&gt;29,8,IF(ROUNDUP($O$2/2+1,0)&gt;26,7,IF(ROUNDUP($O$2/2+1,0)&gt;23,6,IF(ROUNDUP($O$2/2+1,0)&gt;20,5,IF(ROUNDUP($O$2/2+1,0)&gt;17,4,IF(ROUNDUP($O$2/2+1,0)&gt;14,3,IF(ROUNDUP($O$2/2+1,0)&gt;11,2,IF(ROUNDUP($O$2/2+1,0)&gt;8,1,IF(ROUNDUP($O$2/2+1,0)&gt;5,0,IF(ROUNDUP($O$2/2+1,0)&gt;2,-1,-2))))))))))),", "))</f>
        <v/>
      </c>
      <c r="P46" s="138">
        <f>IF(AND(A46="Science ()",B46="all"),(_xlfn.XLOOKUP(A46,StandardBrain[Name],StandardBrain[Cr],,,)*10^(D46))*8,IF(B46="all",(_xlfn.XLOOKUP(A46,StandardBrain[Name],StandardBrain[Cr],,,)*10^(D46))*4,IF(A46="N/A",0,_xlfn.XLOOKUP(A46,StandardBrain[Name],StandardBrain[Cr],,,)*10^(D46))))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thickBot="1" x14ac:dyDescent="0.4">
      <c r="A47" s="30" t="s">
        <v>117</v>
      </c>
      <c r="B47" s="193"/>
      <c r="C47" s="227"/>
      <c r="D47" s="57"/>
      <c r="E47" s="39"/>
      <c r="G47" s="59" t="str">
        <f>IF(A47="N/A","",IF(AND(A47="Science ()",B47="all"),(D47+_xlfn.XLOOKUP(A47,StandardBrain[Name],StandardBrain[Bandwidth],,,))*8,IF(B47="all",(D47+_xlfn.XLOOKUP(A47,StandardBrain[Name],StandardBrain[Bandwidth],,,))*4,IF(A47="N/A","",D47+_xlfn.XLOOKUP(A47,StandardBrain[Name],StandardBrain[Bandwidth],,,)))))</f>
        <v/>
      </c>
      <c r="I47" s="58" t="str">
        <f>_xlfn.XLOOKUP(A47,StandardBrain[Name],StandardBrain[Characteristic],,,)</f>
        <v xml:space="preserve"> </v>
      </c>
      <c r="K47" s="43">
        <f>_xlfn.XLOOKUP(A47,StandardBrain[Name],StandardBrain[TL],,,)+D47</f>
        <v>0</v>
      </c>
      <c r="O47" s="12" t="str">
        <f>IF(_xlfn.XLOOKUP(A47,StandardBrain[Name],StandardBrain[Skill],,,)="","",_xlfn.CONCAT(_xlfn.XLOOKUP(A47,StandardBrain[Name],StandardBrain[Skill],,,),IF(RIGHT(_xlfn.XLOOKUP(A47,StandardBrain[Name],StandardBrain[Skill],,,),1)="(",IF(AND(B47="all",D47=0),"",B47),""),IF(RIGHT(_xlfn.XLOOKUP(A47,StandardBrain[Name],StandardBrain[Skill],,,),1)="(",")","")," ",D47+IF(_xlfn.XLOOKUP(A47,StandardBrain[Name],StandardBrain[Characteristic],,,)="INT",$I$34,IF(ROUNDUP($O$2/2+1,0)&gt;29,8,IF(ROUNDUP($O$2/2+1,0)&gt;26,7,IF(ROUNDUP($O$2/2+1,0)&gt;23,6,IF(ROUNDUP($O$2/2+1,0)&gt;20,5,IF(ROUNDUP($O$2/2+1,0)&gt;17,4,IF(ROUNDUP($O$2/2+1,0)&gt;14,3,IF(ROUNDUP($O$2/2+1,0)&gt;11,2,IF(ROUNDUP($O$2/2+1,0)&gt;8,1,IF(ROUNDUP($O$2/2+1,0)&gt;5,0,IF(ROUNDUP($O$2/2+1,0)&gt;2,-1,-2))))))))))),", "))</f>
        <v/>
      </c>
      <c r="P47" s="138">
        <f>IF(AND(A47="Science ()",B47="all"),(_xlfn.XLOOKUP(A47,StandardBrain[Name],StandardBrain[Cr],,,)*10^(D47))*8,IF(B47="all",(_xlfn.XLOOKUP(A47,StandardBrain[Name],StandardBrain[Cr],,,)*10^(D47))*4,IF(A47="N/A",0,_xlfn.XLOOKUP(A47,StandardBrain[Name],StandardBrain[Cr],,,)*10^(D47))))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thickBot="1" x14ac:dyDescent="0.45">
      <c r="C48" s="1"/>
      <c r="O48" s="148" t="s">
        <v>796</v>
      </c>
      <c r="P48" s="146">
        <f>ROUNDUP(IF(COUNTIF(A14:D30,"Corrosive*")&gt;0,2,1)*IF(COUNTIF(A14:D30,"Insidious*")&gt;0,5,1)*IF(COUNTIF(A14:D30,"Radiation*")&gt;0,COUNTIF(A14:D30,"Radiation*")*2,1)*SUM(P3:P35)+SUM(P37:P47),0)</f>
        <v>10520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thickBot="1" x14ac:dyDescent="0.45">
      <c r="O49" s="148" t="str">
        <f>CONCATENATE("Cost With "&amp;X6*100 &amp; "% Discount")</f>
        <v>Cost With 10% Discount</v>
      </c>
      <c r="P49" s="146">
        <f>P2</f>
        <v>9400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x14ac:dyDescent="0.35"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x14ac:dyDescent="0.35"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x14ac:dyDescent="0.35"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4">
      <c r="B59" s="113"/>
      <c r="D59" s="112"/>
      <c r="E59" s="112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4">
      <c r="B60" s="113"/>
      <c r="D60" s="112"/>
      <c r="E60" s="112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7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x14ac:dyDescent="0.35">
      <c r="B62" s="10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x14ac:dyDescent="0.4">
      <c r="B63" s="110"/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109"/>
      <c r="B64" s="111"/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8:26" ht="12" customHeight="1" x14ac:dyDescent="0.35"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8:26" ht="12" customHeight="1" x14ac:dyDescent="0.35"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8:26" ht="12" customHeight="1" x14ac:dyDescent="0.35"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8:26" ht="12" customHeight="1" x14ac:dyDescent="0.35"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8:26" ht="12" customHeight="1" x14ac:dyDescent="0.35"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8:26" ht="12" customHeight="1" x14ac:dyDescent="0.35"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8:26" ht="12" customHeight="1" x14ac:dyDescent="0.35"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8:26" ht="12" customHeight="1" x14ac:dyDescent="0.35"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8:26" ht="12" customHeight="1" x14ac:dyDescent="0.35"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8:26" ht="12" customHeight="1" x14ac:dyDescent="0.35"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8:26" ht="12" customHeight="1" x14ac:dyDescent="0.35">
      <c r="R75" s="206"/>
      <c r="S75" s="207"/>
      <c r="T75" s="207"/>
      <c r="U75" s="207"/>
      <c r="V75" s="207"/>
      <c r="W75" s="207"/>
      <c r="X75" s="207"/>
      <c r="Y75" s="207"/>
      <c r="Z75" s="208"/>
    </row>
  </sheetData>
  <dataConsolidate/>
  <mergeCells count="70">
    <mergeCell ref="G9:H9"/>
    <mergeCell ref="K9:L9"/>
    <mergeCell ref="G10:O10"/>
    <mergeCell ref="B13:D13"/>
    <mergeCell ref="G5:I5"/>
    <mergeCell ref="H6:N6"/>
    <mergeCell ref="G7:I7"/>
    <mergeCell ref="G8:I8"/>
    <mergeCell ref="K8:M8"/>
    <mergeCell ref="H13:J13"/>
    <mergeCell ref="B2:D2"/>
    <mergeCell ref="F2:H2"/>
    <mergeCell ref="I2:M2"/>
    <mergeCell ref="G3:J3"/>
    <mergeCell ref="G4:I4"/>
    <mergeCell ref="K4:L4"/>
    <mergeCell ref="A14:D14"/>
    <mergeCell ref="H14:J14"/>
    <mergeCell ref="A15:D15"/>
    <mergeCell ref="H15:J15"/>
    <mergeCell ref="H16:J16"/>
    <mergeCell ref="H23:J23"/>
    <mergeCell ref="A17:D17"/>
    <mergeCell ref="H17:J17"/>
    <mergeCell ref="H19:J19"/>
    <mergeCell ref="A20:D20"/>
    <mergeCell ref="H20:J20"/>
    <mergeCell ref="A18:D18"/>
    <mergeCell ref="H18:J18"/>
    <mergeCell ref="A19:D19"/>
    <mergeCell ref="B39:D39"/>
    <mergeCell ref="B41:C41"/>
    <mergeCell ref="A30:D30"/>
    <mergeCell ref="H30:J30"/>
    <mergeCell ref="A27:D27"/>
    <mergeCell ref="H27:J27"/>
    <mergeCell ref="A28:D28"/>
    <mergeCell ref="H28:J28"/>
    <mergeCell ref="A29:D29"/>
    <mergeCell ref="H29:J29"/>
    <mergeCell ref="S7:Z7"/>
    <mergeCell ref="B33:D33"/>
    <mergeCell ref="B37:D37"/>
    <mergeCell ref="B38:D38"/>
    <mergeCell ref="A24:D24"/>
    <mergeCell ref="H24:J24"/>
    <mergeCell ref="A25:D25"/>
    <mergeCell ref="H25:J25"/>
    <mergeCell ref="A26:D26"/>
    <mergeCell ref="H26:J26"/>
    <mergeCell ref="A21:D21"/>
    <mergeCell ref="H21:J21"/>
    <mergeCell ref="A22:D22"/>
    <mergeCell ref="H22:J22"/>
    <mergeCell ref="A23:D23"/>
    <mergeCell ref="A16:D16"/>
    <mergeCell ref="B45:C45"/>
    <mergeCell ref="B46:C46"/>
    <mergeCell ref="B47:C47"/>
    <mergeCell ref="B42:C42"/>
    <mergeCell ref="B43:C43"/>
    <mergeCell ref="B44:C44"/>
    <mergeCell ref="R20:Z75"/>
    <mergeCell ref="S13:Z17"/>
    <mergeCell ref="S8:Z8"/>
    <mergeCell ref="S9:Z9"/>
    <mergeCell ref="S10:Z10"/>
    <mergeCell ref="S11:Z11"/>
    <mergeCell ref="S12:Z12"/>
    <mergeCell ref="R13:R17"/>
  </mergeCells>
  <conditionalFormatting sqref="A22:D30">
    <cfRule type="expression" dxfId="217" priority="9">
      <formula>$O$2&lt;9</formula>
    </cfRule>
  </conditionalFormatting>
  <conditionalFormatting sqref="A23:D30">
    <cfRule type="expression" dxfId="216" priority="8">
      <formula>$O$2&lt;10</formula>
    </cfRule>
  </conditionalFormatting>
  <conditionalFormatting sqref="A24:D30">
    <cfRule type="expression" dxfId="215" priority="7">
      <formula>$O$2&lt;11</formula>
    </cfRule>
  </conditionalFormatting>
  <conditionalFormatting sqref="A25:D30">
    <cfRule type="expression" dxfId="214" priority="6">
      <formula>$O$2&lt;12</formula>
    </cfRule>
  </conditionalFormatting>
  <conditionalFormatting sqref="A26:D30">
    <cfRule type="expression" dxfId="213" priority="5">
      <formula>$O$2&lt;13</formula>
    </cfRule>
  </conditionalFormatting>
  <conditionalFormatting sqref="A27:D30">
    <cfRule type="expression" dxfId="212" priority="4">
      <formula>$O$2&lt;14</formula>
    </cfRule>
  </conditionalFormatting>
  <conditionalFormatting sqref="A28:D30">
    <cfRule type="expression" dxfId="211" priority="3">
      <formula>$O$2&lt;15</formula>
    </cfRule>
  </conditionalFormatting>
  <conditionalFormatting sqref="A29:D30">
    <cfRule type="expression" dxfId="210" priority="2">
      <formula>$O$2&lt;16</formula>
    </cfRule>
  </conditionalFormatting>
  <conditionalFormatting sqref="A30:D30">
    <cfRule type="expression" dxfId="209" priority="1">
      <formula>$O$2&lt;17</formula>
    </cfRule>
  </conditionalFormatting>
  <conditionalFormatting sqref="B12">
    <cfRule type="expression" dxfId="208" priority="42">
      <formula>ABS($J$12-6) &gt; 6</formula>
    </cfRule>
  </conditionalFormatting>
  <conditionalFormatting sqref="E2">
    <cfRule type="expression" dxfId="207" priority="40">
      <formula>$E$2&lt;0</formula>
    </cfRule>
  </conditionalFormatting>
  <conditionalFormatting sqref="K5 K33:K35 K41:K47">
    <cfRule type="expression" dxfId="206" priority="41">
      <formula>K5&gt;$O$2</formula>
    </cfRule>
  </conditionalFormatting>
  <conditionalFormatting sqref="K14:K30">
    <cfRule type="expression" dxfId="205" priority="10">
      <formula>K14&gt;$O$2</formula>
    </cfRule>
  </conditionalFormatting>
  <conditionalFormatting sqref="L35">
    <cfRule type="expression" dxfId="204" priority="39">
      <formula>L35&lt;0</formula>
    </cfRule>
  </conditionalFormatting>
  <dataValidations disablePrompts="1" count="11">
    <dataValidation type="whole" allowBlank="1" showInputMessage="1" showErrorMessage="1" error="Must be a negative number no less than a 50% of the base hits" sqref="B9" xr:uid="{3E779DC7-958E-4D5A-A144-6D5FB0332FF8}">
      <formula1>-J4/2</formula1>
      <formula2>0</formula2>
    </dataValidation>
    <dataValidation type="whole" allowBlank="1" showInputMessage="1" showErrorMessage="1" sqref="E9" xr:uid="{55E9AE5B-4244-4289-8BD4-A0A7EC9F3F7B}">
      <formula1>0</formula1>
      <formula2>J4/2</formula2>
    </dataValidation>
    <dataValidation type="list" allowBlank="1" showInputMessage="1" showErrorMessage="1" error="Only Size 0 allowed" sqref="B4" xr:uid="{96964F1B-8F21-4F29-A241-F8787B71E5B5}">
      <formula1>"0"</formula1>
    </dataValidation>
    <dataValidation type="list" allowBlank="1" showInputMessage="1" showErrorMessage="1" sqref="O2" xr:uid="{A42F67D3-7F4D-4858-8EE5-4298F9D7A11A}">
      <formula1>"8,9,10,11,12,13,14,15,16,17,18"</formula1>
    </dataValidation>
    <dataValidation type="list" allowBlank="1" showInputMessage="1" showErrorMessage="1" sqref="B35 B8" xr:uid="{BA57856E-DD5D-49D6-A9F0-47702F2032E1}">
      <formula1>"TRUE,FALSE"</formula1>
    </dataValidation>
    <dataValidation type="list" allowBlank="1" showInputMessage="1" showErrorMessage="1" sqref="B11" xr:uid="{72C93B15-0C3F-4781-93A4-E27F4682E74F}">
      <formula1>"0,1,2,3,4"</formula1>
    </dataValidation>
    <dataValidation type="list" allowBlank="1" showInputMessage="1" showErrorMessage="1" sqref="D41:D47 B34" xr:uid="{BA301B31-A7D7-47CF-B0D8-215B895705D5}">
      <formula1>"0,1,2,3"</formula1>
    </dataValidation>
    <dataValidation type="whole" allowBlank="1" showInputMessage="1" showErrorMessage="1" error="Must be whole number between -6 and +12" sqref="B12" xr:uid="{1E3C1A95-5A48-4A54-BA3A-D94BA3079CB4}">
      <formula1>-6</formula1>
      <formula2>12</formula2>
    </dataValidation>
    <dataValidation type="whole" allowBlank="1" showInputMessage="1" showErrorMessage="1" sqref="C9:D9" xr:uid="{819E186E-BECF-4887-A96E-0A52DF16233B}">
      <formula1>0</formula1>
      <formula2>D4/2</formula2>
    </dataValidation>
    <dataValidation type="whole" allowBlank="1" showInputMessage="1" showErrorMessage="1" sqref="C11:D11" xr:uid="{C450E44E-FF35-4127-8DD9-E80232C57B49}">
      <formula1>0</formula1>
      <formula2>D5/2</formula2>
    </dataValidation>
    <dataValidation type="whole" allowBlank="1" showInputMessage="1" showErrorMessage="1" sqref="E11:E12 C12:D12" xr:uid="{F4F001D9-87E2-4E2F-83F1-B3CA2AA2A706}">
      <formula1>0</formula1>
      <formula2>#REF!/2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9950C27E-D2CF-4E53-8F1E-76FCB318ED93}">
          <x14:formula1>
            <xm:f>Packages!$B$3:$B$7</xm:f>
          </x14:formula1>
          <xm:sqref>B37</xm:sqref>
        </x14:dataValidation>
        <x14:dataValidation type="list" allowBlank="1" showInputMessage="1" showErrorMessage="1" xr:uid="{7BC31E0B-7E05-4C7B-A9E9-3445F24EA4B1}">
          <x14:formula1>
            <xm:f>Packages!$B$23:$B$25</xm:f>
          </x14:formula1>
          <xm:sqref>B39</xm:sqref>
        </x14:dataValidation>
        <x14:dataValidation type="list" allowBlank="1" showInputMessage="1" showErrorMessage="1" xr:uid="{0C56DEBA-8153-4DB1-9D63-03BAC0E474E7}">
          <x14:formula1>
            <xm:f>Brains!$B$24:$B$29</xm:f>
          </x14:formula1>
          <xm:sqref>B33:D33</xm:sqref>
        </x14:dataValidation>
        <x14:dataValidation type="list" allowBlank="1" showInputMessage="1" showErrorMessage="1" xr:uid="{B6FDF425-6839-4721-A795-F02D46BBD4C9}">
          <x14:formula1>
            <xm:f>Packages!$B$11:$B$19</xm:f>
          </x14:formula1>
          <xm:sqref>B38</xm:sqref>
        </x14:dataValidation>
        <x14:dataValidation type="list" allowBlank="1" showInputMessage="1" showErrorMessage="1" xr:uid="{7CBF6EDA-83DD-4A4C-834D-F305170615E9}">
          <x14:formula1>
            <xm:f>Chassis!$H$3:$H$13</xm:f>
          </x14:formula1>
          <xm:sqref>B5</xm:sqref>
        </x14:dataValidation>
        <x14:dataValidation type="list" allowBlank="1" showInputMessage="1" showErrorMessage="1" xr:uid="{963D9FEA-DF72-422B-A201-E1D3EB67FFEB}">
          <x14:formula1>
            <xm:f>Options!$C$3:$C$71</xm:f>
          </x14:formula1>
          <xm:sqref>A14:D30</xm:sqref>
        </x14:dataValidation>
        <x14:dataValidation type="list" allowBlank="1" showInputMessage="1" showErrorMessage="1" xr:uid="{A5271081-9D15-45F5-9148-2DF5861F6E3E}">
          <x14:formula1>
            <xm:f>Packages!$B$29:$B$68</xm:f>
          </x14:formula1>
          <xm:sqref>A41:A47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8D7C-DE24-40F1-B619-11F3CE028AF0}">
  <sheetPr>
    <tabColor rgb="FFFFC000"/>
  </sheetPr>
  <dimension ref="B1:AB30"/>
  <sheetViews>
    <sheetView workbookViewId="0">
      <selection activeCell="K27" sqref="K27"/>
    </sheetView>
  </sheetViews>
  <sheetFormatPr defaultRowHeight="11.65" x14ac:dyDescent="0.35"/>
  <cols>
    <col min="1" max="1" width="2.75" customWidth="1"/>
    <col min="3" max="3" width="12.25" customWidth="1"/>
    <col min="4" max="4" width="12.4140625" customWidth="1"/>
    <col min="5" max="5" width="11.4140625" customWidth="1"/>
    <col min="6" max="6" width="9.75" customWidth="1"/>
    <col min="8" max="8" width="16.83203125" bestFit="1" customWidth="1"/>
    <col min="9" max="9" width="5.4140625" customWidth="1"/>
    <col min="11" max="11" width="9.25" customWidth="1"/>
    <col min="13" max="13" width="13.75" bestFit="1" customWidth="1"/>
    <col min="14" max="14" width="12.83203125" customWidth="1"/>
    <col min="15" max="16" width="2.75" customWidth="1"/>
    <col min="22" max="23" width="11.58203125" customWidth="1"/>
    <col min="24" max="24" width="2.75" customWidth="1"/>
    <col min="25" max="25" width="14" customWidth="1"/>
    <col min="26" max="27" width="10.83203125" customWidth="1"/>
    <col min="29" max="30" width="2.75" customWidth="1"/>
  </cols>
  <sheetData>
    <row r="1" spans="2:28" x14ac:dyDescent="0.35">
      <c r="B1" t="s">
        <v>16</v>
      </c>
      <c r="H1" t="s">
        <v>22</v>
      </c>
      <c r="Q1" t="s">
        <v>58</v>
      </c>
      <c r="Y1" t="s">
        <v>174</v>
      </c>
    </row>
    <row r="2" spans="2:28" x14ac:dyDescent="0.35">
      <c r="B2" t="s">
        <v>17</v>
      </c>
      <c r="C2" t="s">
        <v>18</v>
      </c>
      <c r="D2" t="s">
        <v>21</v>
      </c>
      <c r="E2" t="s">
        <v>19</v>
      </c>
      <c r="F2" t="s">
        <v>20</v>
      </c>
      <c r="H2" t="s">
        <v>23</v>
      </c>
      <c r="I2" t="s">
        <v>4</v>
      </c>
      <c r="J2" t="s">
        <v>34</v>
      </c>
      <c r="K2" t="s">
        <v>24</v>
      </c>
      <c r="L2" t="s">
        <v>25</v>
      </c>
      <c r="M2" t="s">
        <v>169</v>
      </c>
      <c r="N2" t="s">
        <v>35</v>
      </c>
      <c r="Q2" t="s">
        <v>4</v>
      </c>
      <c r="R2" t="s">
        <v>59</v>
      </c>
      <c r="S2" t="s">
        <v>61</v>
      </c>
      <c r="T2" t="s">
        <v>5</v>
      </c>
      <c r="U2" t="s">
        <v>10</v>
      </c>
      <c r="V2" t="s">
        <v>60</v>
      </c>
      <c r="W2" t="s">
        <v>771</v>
      </c>
      <c r="Y2" t="s">
        <v>173</v>
      </c>
      <c r="Z2" t="s">
        <v>172</v>
      </c>
      <c r="AA2" t="s">
        <v>175</v>
      </c>
      <c r="AB2" t="s">
        <v>170</v>
      </c>
    </row>
    <row r="3" spans="2:28" x14ac:dyDescent="0.35">
      <c r="B3">
        <v>0</v>
      </c>
      <c r="C3">
        <v>10</v>
      </c>
      <c r="D3">
        <v>0</v>
      </c>
      <c r="E3">
        <v>1</v>
      </c>
      <c r="F3">
        <v>-4</v>
      </c>
      <c r="H3" t="s">
        <v>26</v>
      </c>
      <c r="I3">
        <v>5</v>
      </c>
      <c r="J3">
        <v>1</v>
      </c>
      <c r="K3" s="17" t="s">
        <v>13</v>
      </c>
      <c r="M3" t="s">
        <v>26</v>
      </c>
      <c r="N3">
        <v>216</v>
      </c>
      <c r="Q3">
        <v>5</v>
      </c>
      <c r="R3">
        <v>1</v>
      </c>
      <c r="S3">
        <v>15</v>
      </c>
      <c r="T3" s="2">
        <v>0.03</v>
      </c>
      <c r="U3" s="3">
        <v>1.4999999999999999E-2</v>
      </c>
      <c r="V3">
        <v>1</v>
      </c>
      <c r="W3">
        <v>200</v>
      </c>
      <c r="Y3" t="s">
        <v>534</v>
      </c>
      <c r="Z3">
        <v>0</v>
      </c>
      <c r="AA3">
        <v>0</v>
      </c>
      <c r="AB3">
        <v>0</v>
      </c>
    </row>
    <row r="4" spans="2:28" x14ac:dyDescent="0.35">
      <c r="B4">
        <v>1</v>
      </c>
      <c r="C4">
        <v>100</v>
      </c>
      <c r="D4">
        <v>1</v>
      </c>
      <c r="E4">
        <v>1</v>
      </c>
      <c r="F4" s="17">
        <v>-4</v>
      </c>
      <c r="H4" t="s">
        <v>27</v>
      </c>
      <c r="I4">
        <v>5</v>
      </c>
      <c r="J4">
        <v>2</v>
      </c>
      <c r="K4" s="17">
        <v>0</v>
      </c>
      <c r="M4" t="s">
        <v>545</v>
      </c>
      <c r="N4">
        <v>72</v>
      </c>
      <c r="Q4">
        <v>6</v>
      </c>
      <c r="R4">
        <v>2</v>
      </c>
      <c r="S4">
        <v>20</v>
      </c>
      <c r="T4" s="2">
        <v>0.02</v>
      </c>
      <c r="U4" s="2">
        <v>0.01</v>
      </c>
      <c r="V4">
        <v>1</v>
      </c>
      <c r="W4">
        <v>250</v>
      </c>
      <c r="Y4" t="s">
        <v>535</v>
      </c>
      <c r="Z4">
        <v>1</v>
      </c>
      <c r="AA4">
        <v>1</v>
      </c>
      <c r="AB4">
        <v>20</v>
      </c>
    </row>
    <row r="5" spans="2:28" x14ac:dyDescent="0.35">
      <c r="B5">
        <v>2</v>
      </c>
      <c r="C5">
        <v>200</v>
      </c>
      <c r="D5">
        <v>2</v>
      </c>
      <c r="E5">
        <v>4</v>
      </c>
      <c r="F5" s="17">
        <v>-3</v>
      </c>
      <c r="H5" t="s">
        <v>612</v>
      </c>
      <c r="I5">
        <v>5</v>
      </c>
      <c r="J5">
        <v>3</v>
      </c>
      <c r="K5" s="17">
        <v>0</v>
      </c>
      <c r="L5" t="s">
        <v>345</v>
      </c>
      <c r="M5" t="s">
        <v>545</v>
      </c>
      <c r="N5">
        <v>72</v>
      </c>
      <c r="Q5">
        <v>7</v>
      </c>
      <c r="R5">
        <v>2</v>
      </c>
      <c r="S5">
        <v>20</v>
      </c>
      <c r="T5" s="2">
        <v>0.02</v>
      </c>
      <c r="U5" s="2">
        <v>0.01</v>
      </c>
      <c r="V5">
        <v>1</v>
      </c>
      <c r="W5">
        <v>250</v>
      </c>
      <c r="Y5" t="s">
        <v>536</v>
      </c>
      <c r="Z5">
        <v>2</v>
      </c>
      <c r="AA5">
        <v>20</v>
      </c>
      <c r="AB5">
        <v>50</v>
      </c>
    </row>
    <row r="6" spans="2:28" x14ac:dyDescent="0.35">
      <c r="B6">
        <v>3</v>
      </c>
      <c r="C6">
        <v>400</v>
      </c>
      <c r="D6">
        <v>4</v>
      </c>
      <c r="E6">
        <v>8</v>
      </c>
      <c r="F6" s="17">
        <v>-2</v>
      </c>
      <c r="H6" t="s">
        <v>28</v>
      </c>
      <c r="I6">
        <v>5</v>
      </c>
      <c r="J6">
        <v>2</v>
      </c>
      <c r="K6" s="17">
        <v>-1</v>
      </c>
      <c r="L6" t="s">
        <v>345</v>
      </c>
      <c r="M6" t="s">
        <v>546</v>
      </c>
      <c r="N6">
        <v>72</v>
      </c>
      <c r="Q6">
        <v>8</v>
      </c>
      <c r="R6">
        <v>2</v>
      </c>
      <c r="S6">
        <v>20</v>
      </c>
      <c r="T6" s="2">
        <v>0.02</v>
      </c>
      <c r="U6" s="2">
        <v>0.01</v>
      </c>
      <c r="V6">
        <v>1</v>
      </c>
      <c r="W6">
        <v>250</v>
      </c>
      <c r="Y6" t="s">
        <v>537</v>
      </c>
      <c r="Z6">
        <v>3</v>
      </c>
      <c r="AA6">
        <v>50</v>
      </c>
      <c r="AB6">
        <v>100</v>
      </c>
    </row>
    <row r="7" spans="2:28" x14ac:dyDescent="0.35">
      <c r="B7">
        <v>4</v>
      </c>
      <c r="C7">
        <v>800</v>
      </c>
      <c r="D7">
        <v>8</v>
      </c>
      <c r="E7">
        <v>12</v>
      </c>
      <c r="F7" s="17">
        <v>-1</v>
      </c>
      <c r="H7" t="s">
        <v>29</v>
      </c>
      <c r="I7">
        <v>9</v>
      </c>
      <c r="J7">
        <v>20</v>
      </c>
      <c r="K7" s="17">
        <v>1</v>
      </c>
      <c r="L7" t="s">
        <v>346</v>
      </c>
      <c r="M7" t="s">
        <v>547</v>
      </c>
      <c r="N7">
        <v>24</v>
      </c>
      <c r="Q7">
        <v>9</v>
      </c>
      <c r="R7">
        <v>3</v>
      </c>
      <c r="S7">
        <v>30</v>
      </c>
      <c r="T7" s="2">
        <v>0.01</v>
      </c>
      <c r="U7" s="3">
        <v>5.0000000000000001E-3</v>
      </c>
      <c r="V7">
        <v>2</v>
      </c>
      <c r="W7">
        <v>1000</v>
      </c>
      <c r="Y7" t="s">
        <v>538</v>
      </c>
      <c r="Z7">
        <v>4</v>
      </c>
      <c r="AA7">
        <v>100</v>
      </c>
      <c r="AB7">
        <v>200</v>
      </c>
    </row>
    <row r="8" spans="2:28" x14ac:dyDescent="0.35">
      <c r="B8">
        <v>5</v>
      </c>
      <c r="C8">
        <v>1000</v>
      </c>
      <c r="D8">
        <v>16</v>
      </c>
      <c r="E8">
        <v>20</v>
      </c>
      <c r="F8" s="17">
        <v>0</v>
      </c>
      <c r="G8">
        <v>1</v>
      </c>
      <c r="H8" t="s">
        <v>626</v>
      </c>
      <c r="I8">
        <v>5</v>
      </c>
      <c r="J8">
        <v>12</v>
      </c>
      <c r="K8" s="17">
        <v>1</v>
      </c>
      <c r="L8" t="s">
        <v>346</v>
      </c>
      <c r="M8" t="s">
        <v>548</v>
      </c>
      <c r="N8">
        <v>12</v>
      </c>
      <c r="Q8">
        <v>10</v>
      </c>
      <c r="R8">
        <v>3</v>
      </c>
      <c r="S8">
        <v>30</v>
      </c>
      <c r="T8" s="2">
        <v>0.01</v>
      </c>
      <c r="U8" s="3">
        <v>5.0000000000000001E-3</v>
      </c>
      <c r="V8">
        <v>2</v>
      </c>
      <c r="W8">
        <v>1000</v>
      </c>
      <c r="Y8" t="s">
        <v>539</v>
      </c>
      <c r="Z8">
        <v>5</v>
      </c>
      <c r="AA8">
        <v>200</v>
      </c>
      <c r="AB8">
        <v>300</v>
      </c>
    </row>
    <row r="9" spans="2:28" x14ac:dyDescent="0.35">
      <c r="B9">
        <v>6</v>
      </c>
      <c r="C9">
        <v>2000</v>
      </c>
      <c r="D9">
        <v>32</v>
      </c>
      <c r="E9">
        <v>32</v>
      </c>
      <c r="F9" s="17">
        <v>1</v>
      </c>
      <c r="H9" t="s">
        <v>30</v>
      </c>
      <c r="I9">
        <v>6</v>
      </c>
      <c r="J9">
        <v>4</v>
      </c>
      <c r="K9" s="17">
        <v>-2</v>
      </c>
      <c r="L9" t="s">
        <v>347</v>
      </c>
      <c r="M9" t="s">
        <v>546</v>
      </c>
      <c r="N9">
        <v>72</v>
      </c>
      <c r="Q9">
        <v>11</v>
      </c>
      <c r="R9">
        <v>3</v>
      </c>
      <c r="S9">
        <v>30</v>
      </c>
      <c r="T9" s="2">
        <v>0.01</v>
      </c>
      <c r="U9" s="3">
        <v>5.0000000000000001E-3</v>
      </c>
      <c r="V9">
        <v>2</v>
      </c>
      <c r="W9">
        <v>1000</v>
      </c>
      <c r="Y9" t="s">
        <v>540</v>
      </c>
      <c r="Z9">
        <v>6</v>
      </c>
      <c r="AA9">
        <v>300</v>
      </c>
      <c r="AB9">
        <v>500</v>
      </c>
    </row>
    <row r="10" spans="2:28" x14ac:dyDescent="0.35">
      <c r="B10">
        <v>7</v>
      </c>
      <c r="C10">
        <v>4000</v>
      </c>
      <c r="D10">
        <v>64</v>
      </c>
      <c r="E10">
        <v>50</v>
      </c>
      <c r="F10" s="17">
        <v>2</v>
      </c>
      <c r="H10" t="s">
        <v>31</v>
      </c>
      <c r="I10">
        <v>7</v>
      </c>
      <c r="J10">
        <v>14</v>
      </c>
      <c r="K10" s="17">
        <v>0</v>
      </c>
      <c r="L10" t="s">
        <v>346</v>
      </c>
      <c r="M10" t="s">
        <v>548</v>
      </c>
      <c r="N10">
        <v>24</v>
      </c>
      <c r="Q10">
        <v>12</v>
      </c>
      <c r="R10">
        <v>4</v>
      </c>
      <c r="S10">
        <v>40</v>
      </c>
      <c r="T10" s="3">
        <v>5.0000000000000001E-3</v>
      </c>
      <c r="U10" s="3">
        <v>4.0000000000000001E-3</v>
      </c>
      <c r="V10">
        <v>3</v>
      </c>
      <c r="W10">
        <v>1500</v>
      </c>
      <c r="Y10" t="s">
        <v>541</v>
      </c>
      <c r="Z10">
        <v>7</v>
      </c>
      <c r="AA10">
        <v>500</v>
      </c>
      <c r="AB10">
        <v>800</v>
      </c>
    </row>
    <row r="11" spans="2:28" x14ac:dyDescent="0.35">
      <c r="B11">
        <v>8</v>
      </c>
      <c r="C11">
        <v>8000</v>
      </c>
      <c r="D11">
        <v>128</v>
      </c>
      <c r="E11">
        <v>72</v>
      </c>
      <c r="F11" s="17">
        <v>3</v>
      </c>
      <c r="H11" t="s">
        <v>32</v>
      </c>
      <c r="I11">
        <v>8</v>
      </c>
      <c r="J11">
        <v>10</v>
      </c>
      <c r="K11" s="17">
        <v>0</v>
      </c>
      <c r="L11" t="s">
        <v>345</v>
      </c>
      <c r="M11" t="s">
        <v>546</v>
      </c>
      <c r="N11">
        <v>72</v>
      </c>
      <c r="Q11">
        <v>13</v>
      </c>
      <c r="R11">
        <v>4</v>
      </c>
      <c r="S11">
        <v>40</v>
      </c>
      <c r="T11" s="3">
        <v>5.0000000000000001E-3</v>
      </c>
      <c r="U11" s="3">
        <v>4.0000000000000001E-3</v>
      </c>
      <c r="V11">
        <v>3</v>
      </c>
      <c r="W11">
        <v>1500</v>
      </c>
      <c r="Y11" t="s">
        <v>542</v>
      </c>
      <c r="Z11">
        <v>8</v>
      </c>
      <c r="AA11">
        <v>800</v>
      </c>
      <c r="AB11">
        <v>1200</v>
      </c>
    </row>
    <row r="12" spans="2:28" x14ac:dyDescent="0.35">
      <c r="H12" t="s">
        <v>33</v>
      </c>
      <c r="I12">
        <v>7</v>
      </c>
      <c r="J12">
        <v>10</v>
      </c>
      <c r="K12" s="17">
        <v>1</v>
      </c>
      <c r="L12" t="s">
        <v>348</v>
      </c>
      <c r="M12" t="s">
        <v>548</v>
      </c>
      <c r="N12">
        <v>24</v>
      </c>
      <c r="Q12">
        <v>14</v>
      </c>
      <c r="R12">
        <v>4</v>
      </c>
      <c r="S12">
        <v>40</v>
      </c>
      <c r="T12" s="3">
        <v>5.0000000000000001E-3</v>
      </c>
      <c r="U12" s="3">
        <v>4.0000000000000001E-3</v>
      </c>
      <c r="V12">
        <v>3</v>
      </c>
      <c r="W12">
        <v>1500</v>
      </c>
      <c r="Y12" t="s">
        <v>543</v>
      </c>
      <c r="Z12">
        <v>9</v>
      </c>
      <c r="AA12">
        <v>1200</v>
      </c>
      <c r="AB12">
        <v>6000</v>
      </c>
    </row>
    <row r="13" spans="2:28" x14ac:dyDescent="0.35">
      <c r="H13" t="s">
        <v>290</v>
      </c>
      <c r="I13">
        <v>7</v>
      </c>
      <c r="J13">
        <v>20</v>
      </c>
      <c r="K13" s="17">
        <v>1</v>
      </c>
      <c r="M13" t="s">
        <v>549</v>
      </c>
      <c r="N13">
        <v>2</v>
      </c>
      <c r="Q13">
        <v>15</v>
      </c>
      <c r="R13">
        <v>4</v>
      </c>
      <c r="S13">
        <v>50</v>
      </c>
      <c r="T13" s="3">
        <v>2.5000000000000001E-3</v>
      </c>
      <c r="U13" s="3">
        <v>3.0000000000000001E-3</v>
      </c>
      <c r="V13">
        <v>4</v>
      </c>
      <c r="W13">
        <v>2500</v>
      </c>
      <c r="Y13" t="s">
        <v>544</v>
      </c>
      <c r="Z13">
        <v>10</v>
      </c>
      <c r="AA13">
        <v>6000</v>
      </c>
      <c r="AB13">
        <v>24000</v>
      </c>
    </row>
    <row r="14" spans="2:28" x14ac:dyDescent="0.35">
      <c r="Q14">
        <v>16</v>
      </c>
      <c r="R14">
        <v>4</v>
      </c>
      <c r="S14">
        <v>50</v>
      </c>
      <c r="T14" s="3">
        <v>2.5000000000000001E-3</v>
      </c>
      <c r="U14" s="3">
        <v>3.0000000000000001E-3</v>
      </c>
      <c r="V14">
        <v>4</v>
      </c>
      <c r="W14">
        <v>2500</v>
      </c>
    </row>
    <row r="15" spans="2:28" x14ac:dyDescent="0.35">
      <c r="B15">
        <v>5</v>
      </c>
      <c r="C15">
        <v>1</v>
      </c>
      <c r="D15">
        <f t="shared" ref="D15:D21" si="0">POWER(C15,1/3)</f>
        <v>1</v>
      </c>
      <c r="Q15">
        <v>17</v>
      </c>
      <c r="R15">
        <v>4</v>
      </c>
      <c r="S15">
        <v>50</v>
      </c>
      <c r="T15" s="3">
        <v>2.5000000000000001E-3</v>
      </c>
      <c r="U15" s="3">
        <v>3.0000000000000001E-3</v>
      </c>
      <c r="V15">
        <v>4</v>
      </c>
      <c r="W15">
        <v>2500</v>
      </c>
    </row>
    <row r="16" spans="2:28" x14ac:dyDescent="0.35">
      <c r="B16">
        <v>6</v>
      </c>
      <c r="C16">
        <f>C15*2</f>
        <v>2</v>
      </c>
      <c r="D16">
        <f t="shared" si="0"/>
        <v>1.2599210498948732</v>
      </c>
      <c r="Q16">
        <v>18</v>
      </c>
      <c r="R16">
        <v>5</v>
      </c>
      <c r="S16">
        <v>60</v>
      </c>
      <c r="T16" s="3">
        <v>1E-3</v>
      </c>
      <c r="U16" s="3">
        <v>2.5000000000000001E-3</v>
      </c>
      <c r="V16">
        <v>5</v>
      </c>
      <c r="W16">
        <v>5000</v>
      </c>
    </row>
    <row r="17" spans="2:23" x14ac:dyDescent="0.35">
      <c r="B17">
        <v>7</v>
      </c>
      <c r="C17">
        <f t="shared" ref="C17:C30" si="1">C16*2</f>
        <v>4</v>
      </c>
      <c r="D17">
        <f t="shared" si="0"/>
        <v>1.5874010519681994</v>
      </c>
      <c r="Q17">
        <v>19</v>
      </c>
      <c r="R17">
        <v>5</v>
      </c>
      <c r="S17">
        <v>60</v>
      </c>
      <c r="T17" s="3">
        <v>1E-3</v>
      </c>
      <c r="U17" s="3">
        <v>2.5000000000000001E-3</v>
      </c>
      <c r="V17">
        <v>5</v>
      </c>
      <c r="W17">
        <v>5000</v>
      </c>
    </row>
    <row r="18" spans="2:23" x14ac:dyDescent="0.35">
      <c r="B18">
        <v>8</v>
      </c>
      <c r="C18">
        <f t="shared" si="1"/>
        <v>8</v>
      </c>
      <c r="D18">
        <f t="shared" si="0"/>
        <v>1.9999999999999998</v>
      </c>
    </row>
    <row r="19" spans="2:23" x14ac:dyDescent="0.35">
      <c r="B19">
        <v>9</v>
      </c>
      <c r="C19">
        <f t="shared" si="1"/>
        <v>16</v>
      </c>
      <c r="D19">
        <f t="shared" si="0"/>
        <v>2.5198420997897459</v>
      </c>
    </row>
    <row r="20" spans="2:23" x14ac:dyDescent="0.35">
      <c r="B20">
        <v>10</v>
      </c>
      <c r="C20">
        <f t="shared" si="1"/>
        <v>32</v>
      </c>
      <c r="D20">
        <f t="shared" si="0"/>
        <v>3.1748021039363987</v>
      </c>
    </row>
    <row r="21" spans="2:23" x14ac:dyDescent="0.35">
      <c r="B21">
        <v>11</v>
      </c>
      <c r="C21">
        <f t="shared" si="1"/>
        <v>64</v>
      </c>
      <c r="D21">
        <f t="shared" si="0"/>
        <v>3.9999999999999991</v>
      </c>
    </row>
    <row r="22" spans="2:23" x14ac:dyDescent="0.35">
      <c r="B22">
        <v>12</v>
      </c>
      <c r="C22">
        <f t="shared" si="1"/>
        <v>128</v>
      </c>
      <c r="D22">
        <f>POWER(C22,1/3)</f>
        <v>5.0396841995794919</v>
      </c>
    </row>
    <row r="23" spans="2:23" x14ac:dyDescent="0.35">
      <c r="B23">
        <v>13</v>
      </c>
      <c r="C23">
        <f t="shared" si="1"/>
        <v>256</v>
      </c>
      <c r="D23">
        <f t="shared" ref="D23:D30" si="2">POWER(C23,1/3)</f>
        <v>6.3496042078727974</v>
      </c>
    </row>
    <row r="24" spans="2:23" x14ac:dyDescent="0.35">
      <c r="B24">
        <v>14</v>
      </c>
      <c r="C24">
        <f t="shared" si="1"/>
        <v>512</v>
      </c>
      <c r="D24">
        <f t="shared" si="2"/>
        <v>7.9999999999999982</v>
      </c>
    </row>
    <row r="25" spans="2:23" x14ac:dyDescent="0.35">
      <c r="B25">
        <v>15</v>
      </c>
      <c r="C25">
        <f t="shared" si="1"/>
        <v>1024</v>
      </c>
      <c r="D25">
        <f t="shared" si="2"/>
        <v>10.079368399158986</v>
      </c>
    </row>
    <row r="26" spans="2:23" x14ac:dyDescent="0.35">
      <c r="B26">
        <v>16</v>
      </c>
      <c r="C26">
        <f t="shared" si="1"/>
        <v>2048</v>
      </c>
      <c r="D26">
        <f t="shared" si="2"/>
        <v>12.699208415745593</v>
      </c>
    </row>
    <row r="27" spans="2:23" x14ac:dyDescent="0.35">
      <c r="B27">
        <v>17</v>
      </c>
      <c r="C27">
        <f t="shared" si="1"/>
        <v>4096</v>
      </c>
      <c r="D27">
        <f t="shared" si="2"/>
        <v>15.999999999999991</v>
      </c>
    </row>
    <row r="28" spans="2:23" x14ac:dyDescent="0.35">
      <c r="B28">
        <v>18</v>
      </c>
      <c r="C28">
        <f t="shared" si="1"/>
        <v>8192</v>
      </c>
      <c r="D28">
        <f t="shared" si="2"/>
        <v>20.158736798317964</v>
      </c>
    </row>
    <row r="29" spans="2:23" x14ac:dyDescent="0.35">
      <c r="B29">
        <v>19</v>
      </c>
      <c r="C29">
        <f t="shared" si="1"/>
        <v>16384</v>
      </c>
      <c r="D29">
        <f t="shared" si="2"/>
        <v>25.398416831491186</v>
      </c>
    </row>
    <row r="30" spans="2:23" x14ac:dyDescent="0.35">
      <c r="B30">
        <v>20</v>
      </c>
      <c r="C30">
        <f t="shared" si="1"/>
        <v>32768</v>
      </c>
      <c r="D30">
        <f t="shared" si="2"/>
        <v>31.999999999999986</v>
      </c>
    </row>
  </sheetData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C84E0-4E6A-4300-BFEF-7E652E3C1DDC}">
  <sheetPr>
    <tabColor rgb="FFFFC000"/>
  </sheetPr>
  <dimension ref="B1:O29"/>
  <sheetViews>
    <sheetView workbookViewId="0">
      <selection activeCell="N34" sqref="N34"/>
    </sheetView>
  </sheetViews>
  <sheetFormatPr defaultRowHeight="11.65" x14ac:dyDescent="0.35"/>
  <cols>
    <col min="1" max="1" width="2.75" customWidth="1"/>
    <col min="2" max="2" width="22.83203125" customWidth="1"/>
    <col min="4" max="4" width="14.4140625" customWidth="1"/>
    <col min="5" max="5" width="9.75" bestFit="1" customWidth="1"/>
    <col min="6" max="6" width="11.1640625" customWidth="1"/>
    <col min="7" max="8" width="10.83203125" customWidth="1"/>
    <col min="9" max="9" width="48.75" customWidth="1"/>
    <col min="11" max="11" width="22.75" bestFit="1" customWidth="1"/>
    <col min="12" max="12" width="5.4140625" customWidth="1"/>
    <col min="13" max="13" width="8" bestFit="1" customWidth="1"/>
    <col min="14" max="14" width="13.1640625" customWidth="1"/>
    <col min="15" max="15" width="10.75" bestFit="1" customWidth="1"/>
  </cols>
  <sheetData>
    <row r="1" spans="2:15" x14ac:dyDescent="0.35">
      <c r="B1" t="s">
        <v>88</v>
      </c>
      <c r="K1" t="s">
        <v>154</v>
      </c>
    </row>
    <row r="2" spans="2:15" x14ac:dyDescent="0.35">
      <c r="B2" t="s">
        <v>70</v>
      </c>
      <c r="C2" t="s">
        <v>4</v>
      </c>
      <c r="D2" t="s">
        <v>66</v>
      </c>
      <c r="E2" t="s">
        <v>5</v>
      </c>
      <c r="F2" t="s">
        <v>69</v>
      </c>
      <c r="G2" t="s">
        <v>67</v>
      </c>
      <c r="H2" t="s">
        <v>93</v>
      </c>
      <c r="I2" t="s">
        <v>68</v>
      </c>
      <c r="K2" t="s">
        <v>155</v>
      </c>
      <c r="L2" t="s">
        <v>4</v>
      </c>
      <c r="M2" t="s">
        <v>10</v>
      </c>
      <c r="N2" t="s">
        <v>89</v>
      </c>
      <c r="O2" t="s">
        <v>5</v>
      </c>
    </row>
    <row r="3" spans="2:15" x14ac:dyDescent="0.35">
      <c r="B3" t="s">
        <v>600</v>
      </c>
      <c r="C3">
        <v>5</v>
      </c>
      <c r="D3">
        <v>0</v>
      </c>
      <c r="E3">
        <v>0</v>
      </c>
      <c r="F3">
        <v>0</v>
      </c>
      <c r="G3" t="s">
        <v>13</v>
      </c>
      <c r="I3" t="s">
        <v>359</v>
      </c>
      <c r="K3" t="s">
        <v>26</v>
      </c>
      <c r="M3">
        <v>0</v>
      </c>
    </row>
    <row r="4" spans="2:15" x14ac:dyDescent="0.35">
      <c r="B4" t="s">
        <v>72</v>
      </c>
      <c r="C4">
        <v>7</v>
      </c>
      <c r="D4">
        <v>0</v>
      </c>
      <c r="E4">
        <v>10000</v>
      </c>
      <c r="F4">
        <v>1</v>
      </c>
      <c r="G4">
        <v>-2</v>
      </c>
      <c r="I4" t="s">
        <v>71</v>
      </c>
      <c r="K4" t="s">
        <v>158</v>
      </c>
      <c r="L4">
        <v>8</v>
      </c>
      <c r="M4">
        <v>1</v>
      </c>
      <c r="N4">
        <v>1</v>
      </c>
      <c r="O4">
        <v>5000</v>
      </c>
    </row>
    <row r="5" spans="2:15" x14ac:dyDescent="0.35">
      <c r="B5" t="s">
        <v>73</v>
      </c>
      <c r="C5">
        <v>8</v>
      </c>
      <c r="D5">
        <v>0</v>
      </c>
      <c r="E5">
        <v>100</v>
      </c>
      <c r="F5">
        <v>1</v>
      </c>
      <c r="G5">
        <v>-2</v>
      </c>
      <c r="I5" t="s">
        <v>71</v>
      </c>
      <c r="K5" t="s">
        <v>156</v>
      </c>
      <c r="L5">
        <v>10</v>
      </c>
      <c r="M5">
        <v>1</v>
      </c>
      <c r="N5">
        <v>2</v>
      </c>
      <c r="O5">
        <v>5000</v>
      </c>
    </row>
    <row r="6" spans="2:15" x14ac:dyDescent="0.35">
      <c r="B6" t="s">
        <v>74</v>
      </c>
      <c r="C6">
        <v>8</v>
      </c>
      <c r="D6">
        <v>1</v>
      </c>
      <c r="E6">
        <v>20000</v>
      </c>
      <c r="F6">
        <v>3</v>
      </c>
      <c r="G6">
        <v>-1</v>
      </c>
      <c r="I6" t="s">
        <v>765</v>
      </c>
      <c r="K6" t="s">
        <v>157</v>
      </c>
      <c r="L6">
        <v>11</v>
      </c>
      <c r="M6">
        <v>1</v>
      </c>
      <c r="N6">
        <v>3</v>
      </c>
      <c r="O6">
        <v>10000</v>
      </c>
    </row>
    <row r="7" spans="2:15" x14ac:dyDescent="0.35">
      <c r="B7" t="s">
        <v>75</v>
      </c>
      <c r="C7">
        <v>8</v>
      </c>
      <c r="D7">
        <v>1</v>
      </c>
      <c r="E7">
        <v>30000</v>
      </c>
      <c r="F7">
        <v>3</v>
      </c>
      <c r="G7">
        <v>-1</v>
      </c>
      <c r="H7" t="s">
        <v>340</v>
      </c>
      <c r="I7" t="s">
        <v>766</v>
      </c>
      <c r="K7" t="s">
        <v>159</v>
      </c>
      <c r="L7">
        <v>12</v>
      </c>
      <c r="M7">
        <v>1</v>
      </c>
      <c r="N7">
        <v>4</v>
      </c>
      <c r="O7">
        <v>20000</v>
      </c>
    </row>
    <row r="8" spans="2:15" x14ac:dyDescent="0.35">
      <c r="B8" t="s">
        <v>76</v>
      </c>
      <c r="C8">
        <v>10</v>
      </c>
      <c r="D8">
        <v>1</v>
      </c>
      <c r="E8">
        <v>4000</v>
      </c>
      <c r="F8">
        <v>4</v>
      </c>
      <c r="G8">
        <v>-1</v>
      </c>
      <c r="I8" t="s">
        <v>765</v>
      </c>
      <c r="K8" t="s">
        <v>160</v>
      </c>
      <c r="L8">
        <v>12</v>
      </c>
      <c r="M8">
        <v>1</v>
      </c>
      <c r="N8">
        <v>6</v>
      </c>
      <c r="O8">
        <v>50000</v>
      </c>
    </row>
    <row r="9" spans="2:15" x14ac:dyDescent="0.35">
      <c r="B9" t="s">
        <v>77</v>
      </c>
      <c r="C9">
        <v>10</v>
      </c>
      <c r="D9">
        <v>1</v>
      </c>
      <c r="E9">
        <v>6000</v>
      </c>
      <c r="F9">
        <v>4</v>
      </c>
      <c r="G9">
        <v>-1</v>
      </c>
      <c r="H9" t="s">
        <v>340</v>
      </c>
      <c r="I9" t="s">
        <v>766</v>
      </c>
      <c r="K9" t="s">
        <v>168</v>
      </c>
      <c r="L9">
        <v>12</v>
      </c>
      <c r="M9">
        <v>1</v>
      </c>
      <c r="N9">
        <v>8</v>
      </c>
      <c r="O9">
        <v>100000</v>
      </c>
    </row>
    <row r="10" spans="2:15" x14ac:dyDescent="0.35">
      <c r="B10" t="s">
        <v>78</v>
      </c>
      <c r="C10">
        <v>10</v>
      </c>
      <c r="D10">
        <v>2</v>
      </c>
      <c r="E10">
        <v>100000</v>
      </c>
      <c r="F10">
        <v>6</v>
      </c>
      <c r="G10">
        <v>0</v>
      </c>
      <c r="I10" t="s">
        <v>767</v>
      </c>
      <c r="K10" t="s">
        <v>161</v>
      </c>
      <c r="L10">
        <v>15</v>
      </c>
      <c r="M10">
        <v>1</v>
      </c>
      <c r="N10">
        <v>10</v>
      </c>
      <c r="O10">
        <v>500000</v>
      </c>
    </row>
    <row r="11" spans="2:15" x14ac:dyDescent="0.35">
      <c r="B11" t="s">
        <v>79</v>
      </c>
      <c r="C11">
        <v>11</v>
      </c>
      <c r="D11">
        <v>2</v>
      </c>
      <c r="E11">
        <v>50000</v>
      </c>
      <c r="F11">
        <v>7</v>
      </c>
      <c r="G11">
        <v>0</v>
      </c>
      <c r="I11" t="s">
        <v>767</v>
      </c>
      <c r="K11" t="s">
        <v>162</v>
      </c>
      <c r="L11">
        <v>15</v>
      </c>
      <c r="M11">
        <v>1</v>
      </c>
      <c r="N11">
        <v>15</v>
      </c>
      <c r="O11">
        <v>1000000</v>
      </c>
    </row>
    <row r="12" spans="2:15" x14ac:dyDescent="0.35">
      <c r="B12" t="s">
        <v>80</v>
      </c>
      <c r="C12">
        <v>12</v>
      </c>
      <c r="D12">
        <v>2</v>
      </c>
      <c r="E12">
        <v>10000</v>
      </c>
      <c r="F12">
        <v>8</v>
      </c>
      <c r="G12">
        <v>0</v>
      </c>
      <c r="I12" t="s">
        <v>767</v>
      </c>
      <c r="K12" t="s">
        <v>163</v>
      </c>
      <c r="L12">
        <v>15</v>
      </c>
      <c r="M12">
        <v>1</v>
      </c>
      <c r="N12">
        <v>20</v>
      </c>
      <c r="O12">
        <v>2500000</v>
      </c>
    </row>
    <row r="13" spans="2:15" x14ac:dyDescent="0.35">
      <c r="B13" t="s">
        <v>81</v>
      </c>
      <c r="C13">
        <v>12</v>
      </c>
      <c r="D13">
        <v>3</v>
      </c>
      <c r="E13">
        <v>500000</v>
      </c>
      <c r="F13">
        <v>9</v>
      </c>
      <c r="G13">
        <v>1</v>
      </c>
      <c r="I13" t="s">
        <v>768</v>
      </c>
      <c r="K13" t="s">
        <v>164</v>
      </c>
      <c r="L13">
        <v>15</v>
      </c>
      <c r="M13">
        <v>1</v>
      </c>
      <c r="N13">
        <v>25</v>
      </c>
      <c r="O13">
        <v>5000000</v>
      </c>
    </row>
    <row r="14" spans="2:15" x14ac:dyDescent="0.35">
      <c r="B14" t="s">
        <v>82</v>
      </c>
      <c r="C14">
        <v>13</v>
      </c>
      <c r="D14">
        <v>4</v>
      </c>
      <c r="E14">
        <v>500000</v>
      </c>
      <c r="F14">
        <v>10</v>
      </c>
      <c r="G14">
        <v>1</v>
      </c>
      <c r="I14" t="s">
        <v>768</v>
      </c>
      <c r="K14" t="s">
        <v>165</v>
      </c>
      <c r="L14">
        <v>17</v>
      </c>
      <c r="M14">
        <v>1</v>
      </c>
      <c r="N14">
        <v>30</v>
      </c>
      <c r="O14">
        <v>5000000</v>
      </c>
    </row>
    <row r="15" spans="2:15" x14ac:dyDescent="0.35">
      <c r="B15" t="s">
        <v>83</v>
      </c>
      <c r="C15">
        <v>14</v>
      </c>
      <c r="D15">
        <v>5</v>
      </c>
      <c r="E15">
        <v>500000</v>
      </c>
      <c r="F15">
        <v>11</v>
      </c>
      <c r="G15">
        <v>1</v>
      </c>
      <c r="I15" t="s">
        <v>768</v>
      </c>
      <c r="K15" t="s">
        <v>166</v>
      </c>
      <c r="L15">
        <v>17</v>
      </c>
      <c r="M15">
        <v>1</v>
      </c>
      <c r="N15">
        <v>40</v>
      </c>
      <c r="O15">
        <v>10000000</v>
      </c>
    </row>
    <row r="16" spans="2:15" x14ac:dyDescent="0.35">
      <c r="B16" t="s">
        <v>84</v>
      </c>
      <c r="C16">
        <v>15</v>
      </c>
      <c r="D16">
        <v>10</v>
      </c>
      <c r="E16">
        <v>1000000</v>
      </c>
      <c r="F16">
        <v>12</v>
      </c>
      <c r="G16">
        <v>2</v>
      </c>
      <c r="I16" t="s">
        <v>769</v>
      </c>
      <c r="K16" t="s">
        <v>167</v>
      </c>
      <c r="L16">
        <v>18</v>
      </c>
      <c r="M16">
        <v>1</v>
      </c>
      <c r="N16">
        <v>50</v>
      </c>
      <c r="O16">
        <v>5000000</v>
      </c>
    </row>
    <row r="17" spans="2:9" x14ac:dyDescent="0.35">
      <c r="B17" t="s">
        <v>85</v>
      </c>
      <c r="C17">
        <v>16</v>
      </c>
      <c r="D17">
        <v>15</v>
      </c>
      <c r="E17">
        <v>1000000</v>
      </c>
      <c r="F17">
        <v>13</v>
      </c>
      <c r="G17">
        <v>2</v>
      </c>
      <c r="I17" t="s">
        <v>769</v>
      </c>
    </row>
    <row r="18" spans="2:9" x14ac:dyDescent="0.35">
      <c r="B18" t="s">
        <v>86</v>
      </c>
      <c r="C18">
        <v>17</v>
      </c>
      <c r="D18">
        <v>20</v>
      </c>
      <c r="E18">
        <v>5000000</v>
      </c>
      <c r="F18">
        <v>15</v>
      </c>
      <c r="G18">
        <v>3</v>
      </c>
      <c r="I18" t="s">
        <v>770</v>
      </c>
    </row>
    <row r="19" spans="2:9" x14ac:dyDescent="0.35">
      <c r="B19" t="s">
        <v>87</v>
      </c>
      <c r="C19">
        <v>18</v>
      </c>
      <c r="D19">
        <v>30</v>
      </c>
      <c r="E19">
        <v>1000000</v>
      </c>
      <c r="F19">
        <v>15</v>
      </c>
      <c r="G19">
        <v>3</v>
      </c>
      <c r="I19" t="s">
        <v>770</v>
      </c>
    </row>
    <row r="22" spans="2:9" x14ac:dyDescent="0.35">
      <c r="B22" t="s">
        <v>584</v>
      </c>
    </row>
    <row r="23" spans="2:9" ht="12" thickBot="1" x14ac:dyDescent="0.4">
      <c r="B23" s="120" t="s">
        <v>70</v>
      </c>
      <c r="C23" s="121" t="s">
        <v>4</v>
      </c>
      <c r="D23" s="121" t="s">
        <v>66</v>
      </c>
      <c r="E23" s="121" t="s">
        <v>5</v>
      </c>
      <c r="F23" s="121" t="s">
        <v>69</v>
      </c>
      <c r="G23" s="121" t="s">
        <v>67</v>
      </c>
      <c r="H23" s="121" t="s">
        <v>93</v>
      </c>
      <c r="I23" s="122" t="s">
        <v>68</v>
      </c>
    </row>
    <row r="24" spans="2:9" ht="12" thickTop="1" x14ac:dyDescent="0.35">
      <c r="B24" t="s">
        <v>600</v>
      </c>
      <c r="C24">
        <v>5</v>
      </c>
      <c r="D24">
        <v>0</v>
      </c>
      <c r="E24">
        <v>0</v>
      </c>
      <c r="F24">
        <v>0</v>
      </c>
      <c r="G24" t="s">
        <v>13</v>
      </c>
      <c r="I24" t="s">
        <v>359</v>
      </c>
    </row>
    <row r="25" spans="2:9" x14ac:dyDescent="0.35">
      <c r="B25" s="123" t="s">
        <v>73</v>
      </c>
      <c r="C25" s="124">
        <v>8</v>
      </c>
      <c r="D25" s="124">
        <v>0</v>
      </c>
      <c r="E25" s="124">
        <v>100</v>
      </c>
      <c r="F25" s="124">
        <v>1</v>
      </c>
      <c r="G25" s="124">
        <v>-2</v>
      </c>
      <c r="H25" s="124"/>
      <c r="I25" s="125" t="s">
        <v>71</v>
      </c>
    </row>
    <row r="26" spans="2:9" x14ac:dyDescent="0.35">
      <c r="B26" s="123" t="s">
        <v>0</v>
      </c>
      <c r="C26" s="124">
        <v>11</v>
      </c>
      <c r="D26" s="124">
        <v>1</v>
      </c>
      <c r="E26" s="124">
        <v>4000</v>
      </c>
      <c r="F26" s="124">
        <v>4</v>
      </c>
      <c r="G26" s="124">
        <v>-1</v>
      </c>
      <c r="H26" s="124"/>
      <c r="I26" s="125" t="s">
        <v>765</v>
      </c>
    </row>
    <row r="27" spans="2:9" x14ac:dyDescent="0.35">
      <c r="B27" s="123" t="s">
        <v>108</v>
      </c>
      <c r="C27" s="124">
        <v>11</v>
      </c>
      <c r="D27" s="124">
        <v>1</v>
      </c>
      <c r="E27" s="124">
        <v>6000</v>
      </c>
      <c r="F27" s="124">
        <v>4</v>
      </c>
      <c r="G27" s="124">
        <v>-1</v>
      </c>
      <c r="H27" s="124" t="s">
        <v>586</v>
      </c>
      <c r="I27" s="125" t="s">
        <v>766</v>
      </c>
    </row>
    <row r="28" spans="2:9" x14ac:dyDescent="0.35">
      <c r="B28" s="123" t="s">
        <v>3</v>
      </c>
      <c r="C28" s="124">
        <v>12</v>
      </c>
      <c r="D28" s="124">
        <v>2</v>
      </c>
      <c r="E28" s="124">
        <v>10000</v>
      </c>
      <c r="F28" s="124">
        <v>6</v>
      </c>
      <c r="G28" s="124">
        <v>0</v>
      </c>
      <c r="H28" s="124"/>
      <c r="I28" t="s">
        <v>767</v>
      </c>
    </row>
    <row r="29" spans="2:9" x14ac:dyDescent="0.35">
      <c r="B29" s="123" t="s">
        <v>585</v>
      </c>
      <c r="C29" s="124">
        <v>15</v>
      </c>
      <c r="D29" s="124">
        <v>3</v>
      </c>
      <c r="E29" s="124">
        <v>500000</v>
      </c>
      <c r="F29" s="124">
        <v>9</v>
      </c>
      <c r="G29" s="124">
        <v>1</v>
      </c>
      <c r="H29" s="124"/>
      <c r="I29" t="s">
        <v>768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2ECD9-A9F1-4FA6-B599-C109350C7E71}">
  <sheetPr>
    <tabColor rgb="FFFFC000"/>
  </sheetPr>
  <dimension ref="B1:O251"/>
  <sheetViews>
    <sheetView topLeftCell="A210" workbookViewId="0">
      <selection activeCell="U246" sqref="U246"/>
    </sheetView>
  </sheetViews>
  <sheetFormatPr defaultRowHeight="11.65" x14ac:dyDescent="0.35"/>
  <cols>
    <col min="1" max="1" width="2.75" customWidth="1"/>
    <col min="2" max="2" width="16" bestFit="1" customWidth="1"/>
    <col min="3" max="3" width="52" bestFit="1" customWidth="1"/>
    <col min="4" max="4" width="9.75" bestFit="1" customWidth="1"/>
    <col min="5" max="5" width="5.58203125" bestFit="1" customWidth="1"/>
    <col min="6" max="6" width="8" bestFit="1" customWidth="1"/>
    <col min="7" max="7" width="8.83203125" bestFit="1" customWidth="1"/>
    <col min="8" max="8" width="8.25" bestFit="1" customWidth="1"/>
    <col min="9" max="9" width="30.58203125" bestFit="1" customWidth="1"/>
    <col min="10" max="10" width="28.4140625" bestFit="1" customWidth="1"/>
    <col min="11" max="11" width="8" bestFit="1" customWidth="1"/>
    <col min="12" max="12" width="10.25" bestFit="1" customWidth="1"/>
    <col min="13" max="13" width="8" bestFit="1" customWidth="1"/>
    <col min="14" max="14" width="9.58203125" customWidth="1"/>
  </cols>
  <sheetData>
    <row r="1" spans="2:15" x14ac:dyDescent="0.35">
      <c r="B1" t="s">
        <v>209</v>
      </c>
    </row>
    <row r="2" spans="2:15" x14ac:dyDescent="0.35">
      <c r="B2" t="s">
        <v>8</v>
      </c>
      <c r="C2" t="s">
        <v>7</v>
      </c>
      <c r="D2" t="s">
        <v>6</v>
      </c>
      <c r="E2" t="s">
        <v>4</v>
      </c>
      <c r="F2" t="s">
        <v>10</v>
      </c>
      <c r="G2" t="s">
        <v>230</v>
      </c>
      <c r="H2" t="s">
        <v>775</v>
      </c>
      <c r="I2" t="s">
        <v>301</v>
      </c>
      <c r="J2" s="8" t="s">
        <v>94</v>
      </c>
      <c r="K2" t="s">
        <v>93</v>
      </c>
      <c r="L2" t="s">
        <v>5</v>
      </c>
      <c r="M2" t="s">
        <v>97</v>
      </c>
      <c r="N2" t="s">
        <v>211</v>
      </c>
      <c r="O2" t="s">
        <v>479</v>
      </c>
    </row>
    <row r="3" spans="2:15" x14ac:dyDescent="0.35">
      <c r="B3" t="s">
        <v>581</v>
      </c>
      <c r="C3" t="s">
        <v>582</v>
      </c>
      <c r="E3">
        <v>8</v>
      </c>
      <c r="F3">
        <v>0</v>
      </c>
      <c r="G3">
        <v>0</v>
      </c>
      <c r="H3" t="b">
        <v>0</v>
      </c>
      <c r="I3" s="109"/>
      <c r="J3" s="9"/>
      <c r="L3">
        <v>10</v>
      </c>
      <c r="M3" t="b">
        <v>0</v>
      </c>
      <c r="N3">
        <v>10</v>
      </c>
      <c r="O3">
        <v>-2</v>
      </c>
    </row>
    <row r="4" spans="2:15" x14ac:dyDescent="0.35">
      <c r="B4" t="s">
        <v>581</v>
      </c>
      <c r="C4" t="s">
        <v>748</v>
      </c>
      <c r="E4">
        <v>9</v>
      </c>
      <c r="F4">
        <v>0</v>
      </c>
      <c r="G4">
        <v>0</v>
      </c>
      <c r="H4" t="b">
        <v>0</v>
      </c>
      <c r="I4" s="109" t="s">
        <v>757</v>
      </c>
      <c r="J4" s="9"/>
      <c r="L4">
        <v>0</v>
      </c>
      <c r="M4" t="b">
        <v>0</v>
      </c>
      <c r="N4">
        <v>0</v>
      </c>
      <c r="O4">
        <v>-2</v>
      </c>
    </row>
    <row r="5" spans="2:15" x14ac:dyDescent="0.35">
      <c r="B5" t="s">
        <v>581</v>
      </c>
      <c r="C5" t="s">
        <v>749</v>
      </c>
      <c r="E5">
        <v>11</v>
      </c>
      <c r="F5">
        <v>0</v>
      </c>
      <c r="G5">
        <v>0</v>
      </c>
      <c r="H5" t="b">
        <v>0</v>
      </c>
      <c r="I5" s="109" t="s">
        <v>757</v>
      </c>
      <c r="J5" s="9"/>
      <c r="L5">
        <v>0</v>
      </c>
      <c r="M5" t="b">
        <v>0</v>
      </c>
      <c r="N5">
        <v>0</v>
      </c>
      <c r="O5">
        <v>-2</v>
      </c>
    </row>
    <row r="6" spans="2:15" x14ac:dyDescent="0.35">
      <c r="B6" t="s">
        <v>581</v>
      </c>
      <c r="C6" t="s">
        <v>750</v>
      </c>
      <c r="E6">
        <v>7</v>
      </c>
      <c r="F6">
        <v>0</v>
      </c>
      <c r="G6">
        <v>0</v>
      </c>
      <c r="H6" t="b">
        <v>0</v>
      </c>
      <c r="I6" s="109" t="s">
        <v>757</v>
      </c>
      <c r="J6" s="9"/>
      <c r="L6">
        <v>0</v>
      </c>
      <c r="M6" t="b">
        <v>0</v>
      </c>
      <c r="N6">
        <v>0</v>
      </c>
      <c r="O6">
        <v>-2</v>
      </c>
    </row>
    <row r="7" spans="2:15" x14ac:dyDescent="0.35">
      <c r="B7" t="s">
        <v>581</v>
      </c>
      <c r="C7" t="s">
        <v>755</v>
      </c>
      <c r="E7">
        <v>8</v>
      </c>
      <c r="F7">
        <v>0</v>
      </c>
      <c r="G7">
        <v>0</v>
      </c>
      <c r="H7" t="b">
        <v>0</v>
      </c>
      <c r="I7" s="109"/>
      <c r="J7" s="9"/>
      <c r="L7">
        <v>500</v>
      </c>
      <c r="M7" t="b">
        <v>0</v>
      </c>
      <c r="N7">
        <v>500</v>
      </c>
      <c r="O7">
        <v>-2</v>
      </c>
    </row>
    <row r="8" spans="2:15" x14ac:dyDescent="0.35">
      <c r="B8" t="s">
        <v>581</v>
      </c>
      <c r="C8" t="s">
        <v>756</v>
      </c>
      <c r="E8">
        <v>8</v>
      </c>
      <c r="F8">
        <v>0</v>
      </c>
      <c r="G8">
        <v>0</v>
      </c>
      <c r="H8" t="b">
        <v>0</v>
      </c>
      <c r="I8" s="109"/>
      <c r="J8" s="9"/>
      <c r="L8">
        <v>1000</v>
      </c>
      <c r="M8" t="b">
        <v>0</v>
      </c>
      <c r="N8">
        <v>1000</v>
      </c>
      <c r="O8">
        <v>-2</v>
      </c>
    </row>
    <row r="9" spans="2:15" x14ac:dyDescent="0.35">
      <c r="B9" t="s">
        <v>45</v>
      </c>
      <c r="G9">
        <v>0</v>
      </c>
      <c r="I9" s="109"/>
      <c r="J9" s="9"/>
      <c r="O9">
        <v>-1</v>
      </c>
    </row>
    <row r="10" spans="2:15" x14ac:dyDescent="0.35">
      <c r="B10" t="s">
        <v>9</v>
      </c>
      <c r="C10" t="s">
        <v>222</v>
      </c>
      <c r="E10">
        <v>8</v>
      </c>
      <c r="F10">
        <v>0</v>
      </c>
      <c r="G10">
        <v>0</v>
      </c>
      <c r="H10" t="b">
        <v>1</v>
      </c>
      <c r="I10" s="109"/>
      <c r="J10" s="9"/>
      <c r="L10">
        <v>100</v>
      </c>
      <c r="M10" t="b">
        <v>0</v>
      </c>
      <c r="N10">
        <v>100</v>
      </c>
      <c r="O10">
        <v>0</v>
      </c>
    </row>
    <row r="11" spans="2:15" x14ac:dyDescent="0.35">
      <c r="B11" t="s">
        <v>9</v>
      </c>
      <c r="C11" t="s">
        <v>639</v>
      </c>
      <c r="D11" t="s">
        <v>0</v>
      </c>
      <c r="E11">
        <v>7</v>
      </c>
      <c r="F11">
        <v>0</v>
      </c>
      <c r="G11">
        <v>0</v>
      </c>
      <c r="H11" t="b">
        <v>1</v>
      </c>
      <c r="I11" s="109" t="s">
        <v>707</v>
      </c>
      <c r="J11" s="9"/>
      <c r="L11">
        <v>10</v>
      </c>
      <c r="M11" t="b">
        <v>0</v>
      </c>
      <c r="N11">
        <v>0</v>
      </c>
      <c r="O11">
        <v>0</v>
      </c>
    </row>
    <row r="12" spans="2:15" x14ac:dyDescent="0.35">
      <c r="B12" t="s">
        <v>9</v>
      </c>
      <c r="C12" t="s">
        <v>640</v>
      </c>
      <c r="D12" t="s">
        <v>1</v>
      </c>
      <c r="E12">
        <v>8</v>
      </c>
      <c r="F12">
        <v>0</v>
      </c>
      <c r="G12">
        <v>0</v>
      </c>
      <c r="H12" t="b">
        <v>1</v>
      </c>
      <c r="I12" s="109" t="s">
        <v>708</v>
      </c>
      <c r="J12" s="9" t="s">
        <v>342</v>
      </c>
      <c r="L12">
        <v>200</v>
      </c>
      <c r="M12" t="b">
        <v>0</v>
      </c>
      <c r="N12">
        <v>200</v>
      </c>
      <c r="O12">
        <v>0</v>
      </c>
    </row>
    <row r="13" spans="2:15" x14ac:dyDescent="0.35">
      <c r="B13" t="s">
        <v>95</v>
      </c>
      <c r="C13" t="s">
        <v>493</v>
      </c>
      <c r="D13" t="s">
        <v>0</v>
      </c>
      <c r="E13">
        <v>5</v>
      </c>
      <c r="F13">
        <v>0</v>
      </c>
      <c r="G13">
        <v>0</v>
      </c>
      <c r="H13" t="b">
        <v>1</v>
      </c>
      <c r="I13" s="109" t="s">
        <v>407</v>
      </c>
      <c r="J13" s="9"/>
      <c r="L13">
        <v>5</v>
      </c>
      <c r="M13" t="b">
        <v>1</v>
      </c>
      <c r="N13">
        <v>5</v>
      </c>
      <c r="O13">
        <v>0</v>
      </c>
    </row>
    <row r="14" spans="2:15" x14ac:dyDescent="0.35">
      <c r="B14" t="s">
        <v>95</v>
      </c>
      <c r="C14" t="s">
        <v>494</v>
      </c>
      <c r="D14" t="s">
        <v>1</v>
      </c>
      <c r="E14">
        <v>8</v>
      </c>
      <c r="F14">
        <v>0</v>
      </c>
      <c r="G14">
        <v>0</v>
      </c>
      <c r="H14" t="b">
        <v>1</v>
      </c>
      <c r="I14" s="109" t="s">
        <v>408</v>
      </c>
      <c r="J14" s="9"/>
      <c r="L14">
        <v>1</v>
      </c>
      <c r="M14" t="b">
        <v>1</v>
      </c>
      <c r="N14">
        <v>1</v>
      </c>
      <c r="O14">
        <v>0</v>
      </c>
    </row>
    <row r="15" spans="2:15" x14ac:dyDescent="0.35">
      <c r="B15" t="s">
        <v>95</v>
      </c>
      <c r="C15" t="s">
        <v>492</v>
      </c>
      <c r="D15" t="s">
        <v>3</v>
      </c>
      <c r="E15">
        <v>10</v>
      </c>
      <c r="F15">
        <v>0</v>
      </c>
      <c r="G15">
        <v>0</v>
      </c>
      <c r="H15" t="b">
        <v>1</v>
      </c>
      <c r="I15" s="109" t="s">
        <v>410</v>
      </c>
      <c r="J15" s="9"/>
      <c r="L15">
        <v>50</v>
      </c>
      <c r="M15" t="b">
        <v>1</v>
      </c>
      <c r="N15">
        <v>50</v>
      </c>
      <c r="O15">
        <v>0</v>
      </c>
    </row>
    <row r="16" spans="2:15" x14ac:dyDescent="0.35">
      <c r="B16" t="s">
        <v>95</v>
      </c>
      <c r="C16" t="s">
        <v>496</v>
      </c>
      <c r="D16" t="s">
        <v>0</v>
      </c>
      <c r="E16">
        <v>7</v>
      </c>
      <c r="F16">
        <v>0</v>
      </c>
      <c r="G16">
        <v>0</v>
      </c>
      <c r="H16" t="b">
        <v>1</v>
      </c>
      <c r="I16" s="109" t="s">
        <v>406</v>
      </c>
      <c r="J16" s="9"/>
      <c r="L16">
        <v>5</v>
      </c>
      <c r="M16" t="b">
        <v>1</v>
      </c>
      <c r="N16">
        <v>5</v>
      </c>
      <c r="O16">
        <v>0</v>
      </c>
    </row>
    <row r="17" spans="2:15" x14ac:dyDescent="0.35">
      <c r="B17" t="s">
        <v>95</v>
      </c>
      <c r="C17" t="s">
        <v>497</v>
      </c>
      <c r="D17" t="s">
        <v>1</v>
      </c>
      <c r="E17">
        <v>9</v>
      </c>
      <c r="F17">
        <v>0</v>
      </c>
      <c r="G17">
        <v>0</v>
      </c>
      <c r="H17" t="b">
        <v>1</v>
      </c>
      <c r="I17" s="109" t="s">
        <v>411</v>
      </c>
      <c r="J17" s="9"/>
      <c r="L17">
        <v>1</v>
      </c>
      <c r="M17" t="b">
        <v>1</v>
      </c>
      <c r="N17">
        <v>1</v>
      </c>
      <c r="O17">
        <v>0</v>
      </c>
    </row>
    <row r="18" spans="2:15" x14ac:dyDescent="0.35">
      <c r="B18" t="s">
        <v>95</v>
      </c>
      <c r="C18" t="s">
        <v>495</v>
      </c>
      <c r="D18" t="s">
        <v>3</v>
      </c>
      <c r="E18">
        <v>12</v>
      </c>
      <c r="F18">
        <v>0</v>
      </c>
      <c r="G18">
        <v>0</v>
      </c>
      <c r="H18" t="b">
        <v>1</v>
      </c>
      <c r="I18" s="109" t="s">
        <v>408</v>
      </c>
      <c r="J18" s="9"/>
      <c r="L18">
        <v>50</v>
      </c>
      <c r="M18" t="b">
        <v>1</v>
      </c>
      <c r="N18">
        <v>50</v>
      </c>
      <c r="O18">
        <v>0</v>
      </c>
    </row>
    <row r="19" spans="2:15" x14ac:dyDescent="0.35">
      <c r="B19" t="s">
        <v>95</v>
      </c>
      <c r="C19" t="s">
        <v>502</v>
      </c>
      <c r="D19" t="s">
        <v>14</v>
      </c>
      <c r="E19">
        <v>1</v>
      </c>
      <c r="F19">
        <v>0</v>
      </c>
      <c r="G19">
        <v>0</v>
      </c>
      <c r="H19" t="b">
        <v>1</v>
      </c>
      <c r="I19" s="109" t="s">
        <v>404</v>
      </c>
      <c r="J19" s="9"/>
      <c r="K19" t="s">
        <v>322</v>
      </c>
      <c r="L19">
        <v>1</v>
      </c>
      <c r="M19" t="b">
        <v>1</v>
      </c>
      <c r="N19">
        <v>1</v>
      </c>
      <c r="O19">
        <v>0</v>
      </c>
    </row>
    <row r="20" spans="2:15" x14ac:dyDescent="0.35">
      <c r="B20" t="s">
        <v>95</v>
      </c>
      <c r="C20" t="s">
        <v>499</v>
      </c>
      <c r="D20" t="s">
        <v>0</v>
      </c>
      <c r="E20">
        <v>4</v>
      </c>
      <c r="F20">
        <v>0</v>
      </c>
      <c r="G20">
        <v>0</v>
      </c>
      <c r="H20" t="b">
        <v>1</v>
      </c>
      <c r="I20" s="109" t="s">
        <v>405</v>
      </c>
      <c r="J20" s="9"/>
      <c r="K20" t="s">
        <v>323</v>
      </c>
      <c r="L20">
        <v>4</v>
      </c>
      <c r="M20" t="b">
        <v>1</v>
      </c>
      <c r="N20">
        <v>4</v>
      </c>
      <c r="O20">
        <v>0</v>
      </c>
    </row>
    <row r="21" spans="2:15" x14ac:dyDescent="0.35">
      <c r="B21" t="s">
        <v>95</v>
      </c>
      <c r="C21" t="s">
        <v>501</v>
      </c>
      <c r="D21" t="s">
        <v>1</v>
      </c>
      <c r="E21">
        <v>7</v>
      </c>
      <c r="F21">
        <v>0</v>
      </c>
      <c r="G21">
        <v>0</v>
      </c>
      <c r="H21" t="b">
        <v>1</v>
      </c>
      <c r="I21" s="109" t="s">
        <v>406</v>
      </c>
      <c r="J21" s="9"/>
      <c r="K21" t="s">
        <v>323</v>
      </c>
      <c r="L21">
        <v>40</v>
      </c>
      <c r="M21" t="b">
        <v>1</v>
      </c>
      <c r="N21">
        <v>40</v>
      </c>
      <c r="O21">
        <v>0</v>
      </c>
    </row>
    <row r="22" spans="2:15" x14ac:dyDescent="0.35">
      <c r="B22" t="s">
        <v>95</v>
      </c>
      <c r="C22" t="s">
        <v>500</v>
      </c>
      <c r="D22" t="s">
        <v>2</v>
      </c>
      <c r="E22">
        <v>11</v>
      </c>
      <c r="F22">
        <v>0</v>
      </c>
      <c r="G22">
        <v>0</v>
      </c>
      <c r="H22" t="b">
        <v>1</v>
      </c>
      <c r="I22" s="109" t="s">
        <v>407</v>
      </c>
      <c r="J22" s="9"/>
      <c r="K22" t="s">
        <v>324</v>
      </c>
      <c r="L22">
        <v>100</v>
      </c>
      <c r="M22" t="b">
        <v>1</v>
      </c>
      <c r="N22">
        <v>100</v>
      </c>
      <c r="O22">
        <v>0</v>
      </c>
    </row>
    <row r="23" spans="2:15" x14ac:dyDescent="0.35">
      <c r="B23" t="s">
        <v>95</v>
      </c>
      <c r="C23" t="s">
        <v>498</v>
      </c>
      <c r="D23" t="s">
        <v>3</v>
      </c>
      <c r="E23">
        <v>12</v>
      </c>
      <c r="F23">
        <v>0</v>
      </c>
      <c r="G23">
        <v>0</v>
      </c>
      <c r="H23" t="b">
        <v>1</v>
      </c>
      <c r="I23" s="109" t="s">
        <v>408</v>
      </c>
      <c r="J23" s="9"/>
      <c r="K23" t="s">
        <v>325</v>
      </c>
      <c r="L23">
        <v>500</v>
      </c>
      <c r="M23" t="b">
        <v>1</v>
      </c>
      <c r="N23">
        <v>500</v>
      </c>
      <c r="O23">
        <v>0</v>
      </c>
    </row>
    <row r="24" spans="2:15" x14ac:dyDescent="0.35">
      <c r="B24" t="s">
        <v>95</v>
      </c>
      <c r="C24" t="s">
        <v>717</v>
      </c>
      <c r="D24" t="s">
        <v>96</v>
      </c>
      <c r="E24">
        <v>13</v>
      </c>
      <c r="F24">
        <v>0</v>
      </c>
      <c r="G24">
        <v>0</v>
      </c>
      <c r="H24" t="b">
        <v>1</v>
      </c>
      <c r="I24" s="109" t="s">
        <v>409</v>
      </c>
      <c r="J24" s="9"/>
      <c r="K24" t="s">
        <v>325</v>
      </c>
      <c r="L24">
        <v>2500</v>
      </c>
      <c r="M24" t="b">
        <v>1</v>
      </c>
      <c r="N24">
        <v>2500</v>
      </c>
      <c r="O24">
        <v>0</v>
      </c>
    </row>
    <row r="25" spans="2:15" x14ac:dyDescent="0.35">
      <c r="B25" t="s">
        <v>285</v>
      </c>
      <c r="C25" t="s">
        <v>288</v>
      </c>
      <c r="D25" t="s">
        <v>1</v>
      </c>
      <c r="E25">
        <v>9</v>
      </c>
      <c r="F25">
        <v>0</v>
      </c>
      <c r="G25">
        <v>0</v>
      </c>
      <c r="H25" t="b">
        <v>1</v>
      </c>
      <c r="I25" s="109" t="s">
        <v>652</v>
      </c>
      <c r="J25" s="9"/>
      <c r="L25">
        <v>500</v>
      </c>
      <c r="M25" t="b">
        <v>0</v>
      </c>
      <c r="N25">
        <v>500</v>
      </c>
      <c r="O25">
        <v>0</v>
      </c>
    </row>
    <row r="26" spans="2:15" x14ac:dyDescent="0.35">
      <c r="B26" t="s">
        <v>285</v>
      </c>
      <c r="C26" t="s">
        <v>289</v>
      </c>
      <c r="D26" t="s">
        <v>3</v>
      </c>
      <c r="E26">
        <v>11</v>
      </c>
      <c r="F26">
        <v>0</v>
      </c>
      <c r="G26">
        <v>0</v>
      </c>
      <c r="H26" t="b">
        <v>1</v>
      </c>
      <c r="I26" s="109" t="s">
        <v>653</v>
      </c>
      <c r="J26" s="9"/>
      <c r="L26">
        <v>4000</v>
      </c>
      <c r="M26" t="b">
        <v>0</v>
      </c>
      <c r="N26">
        <v>4000</v>
      </c>
      <c r="O26">
        <v>0</v>
      </c>
    </row>
    <row r="27" spans="2:15" x14ac:dyDescent="0.35">
      <c r="B27" t="s">
        <v>40</v>
      </c>
      <c r="C27" t="s">
        <v>284</v>
      </c>
      <c r="E27">
        <v>6</v>
      </c>
      <c r="F27">
        <v>0</v>
      </c>
      <c r="G27">
        <v>0</v>
      </c>
      <c r="H27" t="b">
        <v>1</v>
      </c>
      <c r="I27" s="109"/>
      <c r="J27" s="9"/>
      <c r="L27">
        <v>100</v>
      </c>
      <c r="M27" t="b">
        <v>0</v>
      </c>
      <c r="N27">
        <v>0</v>
      </c>
      <c r="O27">
        <v>0</v>
      </c>
    </row>
    <row r="28" spans="2:15" x14ac:dyDescent="0.35">
      <c r="B28" t="s">
        <v>40</v>
      </c>
      <c r="C28" t="s">
        <v>232</v>
      </c>
      <c r="E28">
        <v>6</v>
      </c>
      <c r="F28">
        <v>0</v>
      </c>
      <c r="G28">
        <v>0</v>
      </c>
      <c r="H28" t="b">
        <v>1</v>
      </c>
      <c r="I28" s="109"/>
      <c r="J28" s="9"/>
      <c r="L28">
        <v>4000</v>
      </c>
      <c r="M28" t="b">
        <v>0</v>
      </c>
      <c r="N28">
        <v>4000</v>
      </c>
      <c r="O28">
        <v>0</v>
      </c>
    </row>
    <row r="29" spans="2:15" x14ac:dyDescent="0.35">
      <c r="B29" t="s">
        <v>9</v>
      </c>
      <c r="C29" t="s">
        <v>11</v>
      </c>
      <c r="E29">
        <v>10</v>
      </c>
      <c r="F29">
        <v>0</v>
      </c>
      <c r="G29">
        <v>0</v>
      </c>
      <c r="H29" t="b">
        <v>1</v>
      </c>
      <c r="I29" s="127" t="s">
        <v>710</v>
      </c>
      <c r="J29" s="10" t="s">
        <v>342</v>
      </c>
      <c r="K29" s="27" t="s">
        <v>340</v>
      </c>
      <c r="L29">
        <v>10000</v>
      </c>
      <c r="M29" t="b">
        <v>0</v>
      </c>
      <c r="N29">
        <v>10000</v>
      </c>
      <c r="O29">
        <v>0</v>
      </c>
    </row>
    <row r="30" spans="2:15" x14ac:dyDescent="0.35">
      <c r="B30" t="s">
        <v>270</v>
      </c>
      <c r="C30" t="s">
        <v>291</v>
      </c>
      <c r="E30">
        <v>9</v>
      </c>
      <c r="F30">
        <v>0</v>
      </c>
      <c r="G30">
        <v>0</v>
      </c>
      <c r="H30" t="b">
        <v>1</v>
      </c>
      <c r="I30" s="109"/>
      <c r="J30" s="9"/>
      <c r="L30">
        <v>500</v>
      </c>
      <c r="M30" t="b">
        <v>1</v>
      </c>
      <c r="N30">
        <v>500</v>
      </c>
      <c r="O30">
        <v>0</v>
      </c>
    </row>
    <row r="31" spans="2:15" x14ac:dyDescent="0.35">
      <c r="B31" t="s">
        <v>9</v>
      </c>
      <c r="C31" t="s">
        <v>279</v>
      </c>
      <c r="E31">
        <v>8</v>
      </c>
      <c r="F31">
        <v>0</v>
      </c>
      <c r="G31">
        <v>0</v>
      </c>
      <c r="H31" t="b">
        <v>1</v>
      </c>
      <c r="I31" s="127"/>
      <c r="J31" s="10"/>
      <c r="K31" s="27"/>
      <c r="L31">
        <v>400</v>
      </c>
      <c r="M31" t="b">
        <v>0</v>
      </c>
      <c r="N31">
        <v>400</v>
      </c>
      <c r="O31">
        <v>0</v>
      </c>
    </row>
    <row r="32" spans="2:15" x14ac:dyDescent="0.35">
      <c r="B32" t="s">
        <v>95</v>
      </c>
      <c r="C32" t="s">
        <v>98</v>
      </c>
      <c r="E32">
        <v>6</v>
      </c>
      <c r="F32">
        <v>0</v>
      </c>
      <c r="G32">
        <v>0</v>
      </c>
      <c r="H32" t="b">
        <v>1</v>
      </c>
      <c r="I32" s="109" t="s">
        <v>711</v>
      </c>
      <c r="J32" s="9"/>
      <c r="L32">
        <v>300</v>
      </c>
      <c r="M32" t="b">
        <v>1</v>
      </c>
      <c r="N32">
        <v>300</v>
      </c>
      <c r="O32">
        <v>0</v>
      </c>
    </row>
    <row r="33" spans="2:15" x14ac:dyDescent="0.35">
      <c r="B33" t="s">
        <v>270</v>
      </c>
      <c r="C33" t="s">
        <v>294</v>
      </c>
      <c r="E33">
        <v>7</v>
      </c>
      <c r="F33">
        <v>0</v>
      </c>
      <c r="G33">
        <v>0</v>
      </c>
      <c r="H33" t="b">
        <v>1</v>
      </c>
      <c r="I33" s="109" t="s">
        <v>712</v>
      </c>
      <c r="J33" s="9"/>
      <c r="L33">
        <v>20</v>
      </c>
      <c r="M33" t="b">
        <v>0</v>
      </c>
      <c r="N33">
        <v>20</v>
      </c>
      <c r="O33">
        <v>0</v>
      </c>
    </row>
    <row r="34" spans="2:15" x14ac:dyDescent="0.35">
      <c r="B34" t="s">
        <v>270</v>
      </c>
      <c r="C34" t="s">
        <v>613</v>
      </c>
      <c r="E34">
        <v>7</v>
      </c>
      <c r="F34">
        <v>0</v>
      </c>
      <c r="G34">
        <v>0</v>
      </c>
      <c r="H34" t="b">
        <v>1</v>
      </c>
      <c r="I34" s="109"/>
      <c r="J34" s="9"/>
      <c r="L34">
        <v>500</v>
      </c>
      <c r="M34" t="b">
        <v>0</v>
      </c>
      <c r="N34">
        <v>500</v>
      </c>
      <c r="O34">
        <v>0</v>
      </c>
    </row>
    <row r="35" spans="2:15" x14ac:dyDescent="0.35">
      <c r="B35" t="s">
        <v>9</v>
      </c>
      <c r="C35" t="s">
        <v>595</v>
      </c>
      <c r="D35" t="s">
        <v>0</v>
      </c>
      <c r="E35">
        <v>7</v>
      </c>
      <c r="F35">
        <v>0</v>
      </c>
      <c r="G35">
        <v>0</v>
      </c>
      <c r="H35" t="b">
        <v>1</v>
      </c>
      <c r="I35" s="109"/>
      <c r="J35" s="9"/>
      <c r="L35">
        <v>500</v>
      </c>
      <c r="M35" t="b">
        <v>0</v>
      </c>
      <c r="N35">
        <v>500</v>
      </c>
      <c r="O35">
        <v>0</v>
      </c>
    </row>
    <row r="36" spans="2:15" x14ac:dyDescent="0.35">
      <c r="B36" t="s">
        <v>9</v>
      </c>
      <c r="C36" t="s">
        <v>596</v>
      </c>
      <c r="D36" t="s">
        <v>3</v>
      </c>
      <c r="E36">
        <v>9</v>
      </c>
      <c r="F36">
        <v>0</v>
      </c>
      <c r="G36">
        <v>0</v>
      </c>
      <c r="H36" t="b">
        <v>1</v>
      </c>
      <c r="I36" s="127" t="s">
        <v>709</v>
      </c>
      <c r="J36" s="9" t="s">
        <v>555</v>
      </c>
      <c r="L36">
        <v>1250</v>
      </c>
      <c r="M36" t="b">
        <v>0</v>
      </c>
      <c r="N36">
        <v>1250</v>
      </c>
      <c r="O36">
        <v>0</v>
      </c>
    </row>
    <row r="37" spans="2:15" x14ac:dyDescent="0.35">
      <c r="B37" t="s">
        <v>270</v>
      </c>
      <c r="C37" t="s">
        <v>292</v>
      </c>
      <c r="E37">
        <v>8</v>
      </c>
      <c r="F37">
        <v>0</v>
      </c>
      <c r="G37">
        <v>0</v>
      </c>
      <c r="H37" t="b">
        <v>1</v>
      </c>
      <c r="I37" s="109"/>
      <c r="J37" s="9"/>
      <c r="L37">
        <v>10</v>
      </c>
      <c r="M37" t="b">
        <v>1</v>
      </c>
      <c r="N37">
        <v>10</v>
      </c>
      <c r="O37">
        <v>0</v>
      </c>
    </row>
    <row r="38" spans="2:15" x14ac:dyDescent="0.35">
      <c r="B38" t="s">
        <v>9</v>
      </c>
      <c r="C38" t="s">
        <v>214</v>
      </c>
      <c r="D38" t="s">
        <v>0</v>
      </c>
      <c r="E38">
        <v>8</v>
      </c>
      <c r="F38">
        <v>0</v>
      </c>
      <c r="G38">
        <v>0</v>
      </c>
      <c r="H38" t="b">
        <v>1</v>
      </c>
      <c r="I38" s="127"/>
      <c r="J38" s="10"/>
      <c r="K38" s="27"/>
      <c r="L38">
        <v>1500</v>
      </c>
      <c r="M38" t="b">
        <v>0</v>
      </c>
      <c r="N38">
        <v>1500</v>
      </c>
      <c r="O38">
        <v>0</v>
      </c>
    </row>
    <row r="39" spans="2:15" x14ac:dyDescent="0.35">
      <c r="B39" t="s">
        <v>9</v>
      </c>
      <c r="C39" t="s">
        <v>215</v>
      </c>
      <c r="D39" t="s">
        <v>1</v>
      </c>
      <c r="E39">
        <v>10</v>
      </c>
      <c r="F39">
        <v>0</v>
      </c>
      <c r="G39">
        <v>0</v>
      </c>
      <c r="H39" t="b">
        <v>1</v>
      </c>
      <c r="I39" s="127"/>
      <c r="J39" s="10" t="s">
        <v>342</v>
      </c>
      <c r="K39" s="27"/>
      <c r="L39">
        <v>3500</v>
      </c>
      <c r="M39" t="b">
        <v>0</v>
      </c>
      <c r="N39">
        <v>3500</v>
      </c>
      <c r="O39">
        <v>0</v>
      </c>
    </row>
    <row r="40" spans="2:15" x14ac:dyDescent="0.35">
      <c r="B40" t="s">
        <v>9</v>
      </c>
      <c r="C40" t="s">
        <v>216</v>
      </c>
      <c r="D40" t="s">
        <v>3</v>
      </c>
      <c r="E40">
        <v>12</v>
      </c>
      <c r="F40">
        <v>0</v>
      </c>
      <c r="G40">
        <v>0</v>
      </c>
      <c r="H40" t="b">
        <v>1</v>
      </c>
      <c r="I40" s="127"/>
      <c r="J40" s="10" t="s">
        <v>342</v>
      </c>
      <c r="K40" s="27"/>
      <c r="L40">
        <v>10000</v>
      </c>
      <c r="M40" t="b">
        <v>0</v>
      </c>
      <c r="N40">
        <v>10000</v>
      </c>
      <c r="O40">
        <v>0</v>
      </c>
    </row>
    <row r="41" spans="2:15" x14ac:dyDescent="0.35">
      <c r="B41" t="s">
        <v>270</v>
      </c>
      <c r="C41" t="s">
        <v>741</v>
      </c>
      <c r="E41">
        <v>10</v>
      </c>
      <c r="F41">
        <v>0</v>
      </c>
      <c r="G41">
        <v>0</v>
      </c>
      <c r="H41" t="b">
        <v>1</v>
      </c>
      <c r="I41" s="127"/>
      <c r="J41" s="10"/>
      <c r="K41" s="27"/>
      <c r="L41">
        <v>10000</v>
      </c>
      <c r="M41" t="b">
        <v>0</v>
      </c>
      <c r="N41">
        <v>10000</v>
      </c>
      <c r="O41">
        <v>0</v>
      </c>
    </row>
    <row r="42" spans="2:15" x14ac:dyDescent="0.35">
      <c r="B42" t="s">
        <v>9</v>
      </c>
      <c r="C42" t="s">
        <v>12</v>
      </c>
      <c r="E42">
        <v>12</v>
      </c>
      <c r="F42">
        <v>0</v>
      </c>
      <c r="G42">
        <v>0</v>
      </c>
      <c r="H42" t="b">
        <v>1</v>
      </c>
      <c r="I42" s="127" t="s">
        <v>701</v>
      </c>
      <c r="J42" s="10" t="s">
        <v>343</v>
      </c>
      <c r="K42" s="27"/>
      <c r="L42">
        <v>2000</v>
      </c>
      <c r="M42" t="b">
        <v>0</v>
      </c>
      <c r="N42">
        <v>2000</v>
      </c>
      <c r="O42">
        <v>0</v>
      </c>
    </row>
    <row r="43" spans="2:15" x14ac:dyDescent="0.35">
      <c r="B43" t="s">
        <v>95</v>
      </c>
      <c r="C43" t="s">
        <v>99</v>
      </c>
      <c r="E43">
        <v>10</v>
      </c>
      <c r="F43">
        <v>0</v>
      </c>
      <c r="G43">
        <v>0</v>
      </c>
      <c r="H43" t="b">
        <v>1</v>
      </c>
      <c r="I43" s="109" t="s">
        <v>378</v>
      </c>
      <c r="J43" s="9" t="s">
        <v>341</v>
      </c>
      <c r="L43">
        <v>100</v>
      </c>
      <c r="M43" t="b">
        <v>1</v>
      </c>
      <c r="N43">
        <v>100</v>
      </c>
      <c r="O43">
        <v>0</v>
      </c>
    </row>
    <row r="44" spans="2:15" x14ac:dyDescent="0.35">
      <c r="B44" t="s">
        <v>270</v>
      </c>
      <c r="C44" t="s">
        <v>758</v>
      </c>
      <c r="D44" t="s">
        <v>0</v>
      </c>
      <c r="E44">
        <v>7</v>
      </c>
      <c r="F44">
        <v>0</v>
      </c>
      <c r="G44">
        <v>0</v>
      </c>
      <c r="H44" t="b">
        <v>1</v>
      </c>
      <c r="I44" s="109" t="s">
        <v>713</v>
      </c>
      <c r="J44" s="9"/>
      <c r="L44">
        <v>20000</v>
      </c>
      <c r="M44" t="b">
        <v>1</v>
      </c>
      <c r="N44">
        <v>20000</v>
      </c>
      <c r="O44">
        <v>0</v>
      </c>
    </row>
    <row r="45" spans="2:15" x14ac:dyDescent="0.35">
      <c r="B45" t="s">
        <v>270</v>
      </c>
      <c r="C45" t="s">
        <v>759</v>
      </c>
      <c r="D45" t="s">
        <v>1</v>
      </c>
      <c r="E45">
        <v>8</v>
      </c>
      <c r="F45">
        <v>0</v>
      </c>
      <c r="G45">
        <v>0</v>
      </c>
      <c r="H45" t="b">
        <v>1</v>
      </c>
      <c r="I45" s="109" t="s">
        <v>714</v>
      </c>
      <c r="J45" s="9"/>
      <c r="L45">
        <v>50000</v>
      </c>
      <c r="M45" t="b">
        <v>1</v>
      </c>
      <c r="N45">
        <v>50000</v>
      </c>
      <c r="O45">
        <v>0</v>
      </c>
    </row>
    <row r="46" spans="2:15" x14ac:dyDescent="0.35">
      <c r="B46" t="s">
        <v>95</v>
      </c>
      <c r="C46" t="s">
        <v>590</v>
      </c>
      <c r="D46" t="s">
        <v>0</v>
      </c>
      <c r="E46">
        <v>6</v>
      </c>
      <c r="F46">
        <v>0</v>
      </c>
      <c r="G46">
        <v>0</v>
      </c>
      <c r="H46" t="b">
        <v>1</v>
      </c>
      <c r="I46" s="109" t="s">
        <v>729</v>
      </c>
      <c r="J46" s="9"/>
      <c r="L46">
        <v>500</v>
      </c>
      <c r="M46" t="b">
        <v>1</v>
      </c>
      <c r="N46">
        <v>500</v>
      </c>
      <c r="O46">
        <v>0</v>
      </c>
    </row>
    <row r="47" spans="2:15" x14ac:dyDescent="0.35">
      <c r="B47" t="s">
        <v>95</v>
      </c>
      <c r="C47" t="s">
        <v>591</v>
      </c>
      <c r="D47" t="s">
        <v>1</v>
      </c>
      <c r="E47">
        <v>8</v>
      </c>
      <c r="F47">
        <v>0</v>
      </c>
      <c r="G47">
        <v>0</v>
      </c>
      <c r="H47" t="b">
        <v>1</v>
      </c>
      <c r="I47" s="109" t="s">
        <v>730</v>
      </c>
      <c r="J47" s="9"/>
      <c r="L47">
        <v>100</v>
      </c>
      <c r="M47" t="b">
        <v>1</v>
      </c>
      <c r="N47">
        <v>100</v>
      </c>
      <c r="O47">
        <v>0</v>
      </c>
    </row>
    <row r="48" spans="2:15" x14ac:dyDescent="0.35">
      <c r="B48" t="s">
        <v>95</v>
      </c>
      <c r="C48" t="s">
        <v>592</v>
      </c>
      <c r="D48" t="s">
        <v>2</v>
      </c>
      <c r="E48">
        <v>10</v>
      </c>
      <c r="F48">
        <v>0</v>
      </c>
      <c r="G48">
        <v>0</v>
      </c>
      <c r="H48" t="b">
        <v>1</v>
      </c>
      <c r="I48" s="109" t="s">
        <v>731</v>
      </c>
      <c r="J48" s="9"/>
      <c r="L48">
        <v>200</v>
      </c>
      <c r="M48" t="b">
        <v>1</v>
      </c>
      <c r="N48">
        <v>200</v>
      </c>
      <c r="O48">
        <v>0</v>
      </c>
    </row>
    <row r="49" spans="2:15" x14ac:dyDescent="0.35">
      <c r="B49" t="s">
        <v>95</v>
      </c>
      <c r="C49" t="s">
        <v>593</v>
      </c>
      <c r="D49" t="s">
        <v>3</v>
      </c>
      <c r="E49">
        <v>12</v>
      </c>
      <c r="F49">
        <v>0</v>
      </c>
      <c r="G49">
        <v>0</v>
      </c>
      <c r="H49" t="b">
        <v>1</v>
      </c>
      <c r="I49" s="109" t="s">
        <v>732</v>
      </c>
      <c r="J49" s="9"/>
      <c r="L49">
        <v>500</v>
      </c>
      <c r="M49" t="b">
        <v>1</v>
      </c>
      <c r="N49">
        <v>500</v>
      </c>
      <c r="O49">
        <v>0</v>
      </c>
    </row>
    <row r="50" spans="2:15" x14ac:dyDescent="0.35">
      <c r="B50" t="s">
        <v>270</v>
      </c>
      <c r="C50" t="s">
        <v>293</v>
      </c>
      <c r="E50">
        <v>7</v>
      </c>
      <c r="F50">
        <v>0</v>
      </c>
      <c r="G50">
        <v>0</v>
      </c>
      <c r="H50" t="b">
        <v>1</v>
      </c>
      <c r="I50" s="109" t="s">
        <v>712</v>
      </c>
      <c r="J50" s="9"/>
      <c r="L50">
        <v>10</v>
      </c>
      <c r="M50" t="b">
        <v>0</v>
      </c>
      <c r="N50">
        <v>10</v>
      </c>
      <c r="O50">
        <v>0</v>
      </c>
    </row>
    <row r="51" spans="2:15" x14ac:dyDescent="0.35">
      <c r="B51" t="s">
        <v>40</v>
      </c>
      <c r="C51" t="s">
        <v>463</v>
      </c>
      <c r="D51" t="s">
        <v>0</v>
      </c>
      <c r="E51">
        <v>7</v>
      </c>
      <c r="F51">
        <v>0</v>
      </c>
      <c r="G51">
        <v>0</v>
      </c>
      <c r="H51" t="b">
        <v>1</v>
      </c>
      <c r="I51" s="109"/>
      <c r="J51" s="9"/>
      <c r="L51">
        <v>250</v>
      </c>
      <c r="M51" t="b">
        <v>0</v>
      </c>
      <c r="N51">
        <v>0</v>
      </c>
      <c r="O51">
        <v>0</v>
      </c>
    </row>
    <row r="52" spans="2:15" x14ac:dyDescent="0.35">
      <c r="B52" t="s">
        <v>40</v>
      </c>
      <c r="C52" t="s">
        <v>464</v>
      </c>
      <c r="D52" t="s">
        <v>1</v>
      </c>
      <c r="E52">
        <v>8</v>
      </c>
      <c r="F52">
        <v>0</v>
      </c>
      <c r="G52">
        <v>0</v>
      </c>
      <c r="H52" t="b">
        <v>1</v>
      </c>
      <c r="I52" s="109"/>
      <c r="J52" s="9"/>
      <c r="L52">
        <v>100</v>
      </c>
      <c r="M52" t="b">
        <v>0</v>
      </c>
      <c r="N52">
        <v>0</v>
      </c>
      <c r="O52">
        <v>0</v>
      </c>
    </row>
    <row r="53" spans="2:15" x14ac:dyDescent="0.35">
      <c r="B53" t="s">
        <v>40</v>
      </c>
      <c r="C53" t="s">
        <v>465</v>
      </c>
      <c r="D53" t="s">
        <v>1</v>
      </c>
      <c r="E53">
        <v>8</v>
      </c>
      <c r="F53">
        <v>0</v>
      </c>
      <c r="G53">
        <v>0</v>
      </c>
      <c r="H53" t="b">
        <v>1</v>
      </c>
      <c r="I53" s="109"/>
      <c r="J53" s="9"/>
      <c r="L53">
        <v>500</v>
      </c>
      <c r="M53" t="b">
        <v>0</v>
      </c>
      <c r="N53">
        <v>500</v>
      </c>
      <c r="O53">
        <v>0</v>
      </c>
    </row>
    <row r="54" spans="2:15" x14ac:dyDescent="0.35">
      <c r="B54" t="s">
        <v>40</v>
      </c>
      <c r="C54" t="s">
        <v>466</v>
      </c>
      <c r="D54" t="s">
        <v>2</v>
      </c>
      <c r="E54">
        <v>10</v>
      </c>
      <c r="F54">
        <v>0</v>
      </c>
      <c r="G54">
        <v>0</v>
      </c>
      <c r="H54" t="b">
        <v>1</v>
      </c>
      <c r="I54" s="109"/>
      <c r="J54" s="9"/>
      <c r="L54">
        <v>250</v>
      </c>
      <c r="M54" t="b">
        <v>0</v>
      </c>
      <c r="N54">
        <v>250</v>
      </c>
      <c r="O54">
        <v>0</v>
      </c>
    </row>
    <row r="55" spans="2:15" x14ac:dyDescent="0.35">
      <c r="B55" t="s">
        <v>40</v>
      </c>
      <c r="C55" t="s">
        <v>467</v>
      </c>
      <c r="D55" t="s">
        <v>3</v>
      </c>
      <c r="E55">
        <v>13</v>
      </c>
      <c r="F55">
        <v>0</v>
      </c>
      <c r="G55">
        <v>0</v>
      </c>
      <c r="H55" t="b">
        <v>1</v>
      </c>
      <c r="I55" s="109"/>
      <c r="J55" s="9"/>
      <c r="L55">
        <v>100</v>
      </c>
      <c r="M55" t="b">
        <v>0</v>
      </c>
      <c r="N55">
        <v>100</v>
      </c>
      <c r="O55">
        <v>0</v>
      </c>
    </row>
    <row r="56" spans="2:15" x14ac:dyDescent="0.35">
      <c r="B56" t="s">
        <v>40</v>
      </c>
      <c r="C56" t="s">
        <v>468</v>
      </c>
      <c r="D56" t="s">
        <v>1</v>
      </c>
      <c r="E56">
        <v>9</v>
      </c>
      <c r="F56">
        <v>0</v>
      </c>
      <c r="G56">
        <v>0</v>
      </c>
      <c r="H56" t="b">
        <v>1</v>
      </c>
      <c r="I56" s="109"/>
      <c r="J56" s="9"/>
      <c r="L56">
        <v>1000</v>
      </c>
      <c r="M56" t="b">
        <v>0</v>
      </c>
      <c r="N56">
        <v>1000</v>
      </c>
      <c r="O56">
        <v>0</v>
      </c>
    </row>
    <row r="57" spans="2:15" x14ac:dyDescent="0.35">
      <c r="B57" t="s">
        <v>40</v>
      </c>
      <c r="C57" t="s">
        <v>469</v>
      </c>
      <c r="D57" t="s">
        <v>2</v>
      </c>
      <c r="E57">
        <v>11</v>
      </c>
      <c r="F57">
        <v>0</v>
      </c>
      <c r="G57">
        <v>0</v>
      </c>
      <c r="H57" t="b">
        <v>1</v>
      </c>
      <c r="I57" s="109"/>
      <c r="J57" s="9"/>
      <c r="L57">
        <v>500</v>
      </c>
      <c r="M57" t="b">
        <v>0</v>
      </c>
      <c r="N57">
        <v>500</v>
      </c>
      <c r="O57">
        <v>0</v>
      </c>
    </row>
    <row r="58" spans="2:15" x14ac:dyDescent="0.35">
      <c r="B58" t="s">
        <v>40</v>
      </c>
      <c r="C58" t="s">
        <v>470</v>
      </c>
      <c r="D58" t="s">
        <v>3</v>
      </c>
      <c r="E58">
        <v>14</v>
      </c>
      <c r="F58">
        <v>0</v>
      </c>
      <c r="G58">
        <v>0</v>
      </c>
      <c r="H58" t="b">
        <v>1</v>
      </c>
      <c r="I58" s="109"/>
      <c r="J58" s="9"/>
      <c r="L58">
        <v>250</v>
      </c>
      <c r="M58" t="b">
        <v>0</v>
      </c>
      <c r="N58">
        <v>250</v>
      </c>
      <c r="O58">
        <v>0</v>
      </c>
    </row>
    <row r="59" spans="2:15" x14ac:dyDescent="0.35">
      <c r="B59" t="s">
        <v>40</v>
      </c>
      <c r="C59" t="s">
        <v>525</v>
      </c>
      <c r="D59" t="s">
        <v>1</v>
      </c>
      <c r="E59">
        <v>9</v>
      </c>
      <c r="F59">
        <v>0</v>
      </c>
      <c r="G59">
        <v>0</v>
      </c>
      <c r="H59" t="b">
        <v>1</v>
      </c>
      <c r="I59" s="109"/>
      <c r="J59" s="9"/>
      <c r="L59">
        <v>5000</v>
      </c>
      <c r="M59" t="b">
        <v>0</v>
      </c>
      <c r="N59">
        <v>5000</v>
      </c>
      <c r="O59">
        <v>0</v>
      </c>
    </row>
    <row r="60" spans="2:15" x14ac:dyDescent="0.35">
      <c r="B60" t="s">
        <v>40</v>
      </c>
      <c r="C60" t="s">
        <v>526</v>
      </c>
      <c r="D60" t="s">
        <v>2</v>
      </c>
      <c r="E60">
        <v>12</v>
      </c>
      <c r="F60">
        <v>0</v>
      </c>
      <c r="G60">
        <v>0</v>
      </c>
      <c r="H60" t="b">
        <v>1</v>
      </c>
      <c r="I60" s="109"/>
      <c r="J60" s="9"/>
      <c r="L60">
        <v>1000</v>
      </c>
      <c r="M60" t="b">
        <v>0</v>
      </c>
      <c r="N60">
        <v>1000</v>
      </c>
      <c r="O60">
        <v>0</v>
      </c>
    </row>
    <row r="61" spans="2:15" x14ac:dyDescent="0.35">
      <c r="B61" t="s">
        <v>40</v>
      </c>
      <c r="C61" t="s">
        <v>480</v>
      </c>
      <c r="D61" t="s">
        <v>3</v>
      </c>
      <c r="E61">
        <v>15</v>
      </c>
      <c r="F61">
        <v>0</v>
      </c>
      <c r="G61">
        <v>0</v>
      </c>
      <c r="H61" t="b">
        <v>1</v>
      </c>
      <c r="I61" s="109"/>
      <c r="J61" s="9"/>
      <c r="L61">
        <v>500</v>
      </c>
      <c r="M61" t="b">
        <v>0</v>
      </c>
      <c r="N61">
        <v>500</v>
      </c>
      <c r="O61">
        <v>0</v>
      </c>
    </row>
    <row r="62" spans="2:15" x14ac:dyDescent="0.35">
      <c r="B62" t="s">
        <v>9</v>
      </c>
      <c r="C62" t="s">
        <v>529</v>
      </c>
      <c r="E62">
        <v>6</v>
      </c>
      <c r="F62">
        <v>0</v>
      </c>
      <c r="G62">
        <v>0</v>
      </c>
      <c r="H62" t="b">
        <v>1</v>
      </c>
      <c r="I62" s="109" t="s">
        <v>530</v>
      </c>
      <c r="J62" s="9" t="s">
        <v>555</v>
      </c>
      <c r="L62">
        <v>500</v>
      </c>
      <c r="M62" t="b">
        <v>0</v>
      </c>
      <c r="N62">
        <v>500</v>
      </c>
      <c r="O62">
        <v>0</v>
      </c>
    </row>
    <row r="63" spans="2:15" x14ac:dyDescent="0.35">
      <c r="B63" t="s">
        <v>95</v>
      </c>
      <c r="C63" t="s">
        <v>100</v>
      </c>
      <c r="E63">
        <v>6</v>
      </c>
      <c r="F63">
        <v>0</v>
      </c>
      <c r="G63">
        <v>0</v>
      </c>
      <c r="H63" t="b">
        <v>1</v>
      </c>
      <c r="I63" s="127" t="s">
        <v>403</v>
      </c>
      <c r="J63" s="9"/>
      <c r="L63">
        <v>600</v>
      </c>
      <c r="M63" t="b">
        <v>1</v>
      </c>
      <c r="N63">
        <v>600</v>
      </c>
      <c r="O63">
        <v>0</v>
      </c>
    </row>
    <row r="64" spans="2:15" x14ac:dyDescent="0.35">
      <c r="B64" t="s">
        <v>95</v>
      </c>
      <c r="C64" t="s">
        <v>616</v>
      </c>
      <c r="E64">
        <v>10</v>
      </c>
      <c r="F64">
        <v>0</v>
      </c>
      <c r="G64">
        <v>0</v>
      </c>
      <c r="H64" t="b">
        <v>1</v>
      </c>
      <c r="I64" s="127" t="s">
        <v>403</v>
      </c>
      <c r="J64" s="9"/>
      <c r="L64">
        <v>50000</v>
      </c>
      <c r="M64" t="b">
        <v>1</v>
      </c>
      <c r="N64">
        <v>50000</v>
      </c>
      <c r="O64">
        <v>0</v>
      </c>
    </row>
    <row r="65" spans="2:15" x14ac:dyDescent="0.35">
      <c r="B65" t="s">
        <v>40</v>
      </c>
      <c r="C65" t="s">
        <v>660</v>
      </c>
      <c r="D65" t="s">
        <v>0</v>
      </c>
      <c r="E65">
        <v>7</v>
      </c>
      <c r="F65">
        <v>0</v>
      </c>
      <c r="G65">
        <v>0</v>
      </c>
      <c r="H65" t="b">
        <v>1</v>
      </c>
      <c r="I65" s="127" t="s">
        <v>657</v>
      </c>
      <c r="J65" s="9"/>
      <c r="L65">
        <v>200</v>
      </c>
      <c r="M65" t="b">
        <v>0</v>
      </c>
      <c r="N65">
        <v>0</v>
      </c>
      <c r="O65">
        <v>0</v>
      </c>
    </row>
    <row r="66" spans="2:15" x14ac:dyDescent="0.35">
      <c r="B66" t="s">
        <v>40</v>
      </c>
      <c r="C66" t="s">
        <v>661</v>
      </c>
      <c r="D66" t="s">
        <v>1</v>
      </c>
      <c r="E66">
        <v>8</v>
      </c>
      <c r="F66">
        <v>0</v>
      </c>
      <c r="G66">
        <v>0</v>
      </c>
      <c r="H66" t="b">
        <v>1</v>
      </c>
      <c r="I66" s="127" t="s">
        <v>658</v>
      </c>
      <c r="J66" s="9"/>
      <c r="L66">
        <v>500</v>
      </c>
      <c r="M66" t="b">
        <v>0</v>
      </c>
      <c r="N66">
        <v>500</v>
      </c>
      <c r="O66">
        <v>0</v>
      </c>
    </row>
    <row r="67" spans="2:15" x14ac:dyDescent="0.35">
      <c r="B67" t="s">
        <v>40</v>
      </c>
      <c r="C67" t="s">
        <v>662</v>
      </c>
      <c r="D67" t="s">
        <v>3</v>
      </c>
      <c r="E67">
        <v>10</v>
      </c>
      <c r="F67">
        <v>0</v>
      </c>
      <c r="G67">
        <v>0</v>
      </c>
      <c r="H67" t="b">
        <v>1</v>
      </c>
      <c r="I67" s="127" t="s">
        <v>659</v>
      </c>
      <c r="J67" s="9"/>
      <c r="L67">
        <v>2000</v>
      </c>
      <c r="M67" t="b">
        <v>0</v>
      </c>
      <c r="N67">
        <v>2000</v>
      </c>
      <c r="O67">
        <v>0</v>
      </c>
    </row>
    <row r="68" spans="2:15" x14ac:dyDescent="0.35">
      <c r="B68" t="s">
        <v>9</v>
      </c>
      <c r="C68" t="s">
        <v>39</v>
      </c>
      <c r="E68">
        <v>7</v>
      </c>
      <c r="F68">
        <v>0</v>
      </c>
      <c r="G68">
        <v>0</v>
      </c>
      <c r="H68" t="b">
        <v>1</v>
      </c>
      <c r="I68" s="127"/>
      <c r="J68" s="10"/>
      <c r="K68" s="27"/>
      <c r="L68">
        <v>50</v>
      </c>
      <c r="M68" t="b">
        <v>0</v>
      </c>
      <c r="N68">
        <v>0</v>
      </c>
      <c r="O68">
        <v>0</v>
      </c>
    </row>
    <row r="69" spans="2:15" x14ac:dyDescent="0.35">
      <c r="B69" t="s">
        <v>40</v>
      </c>
      <c r="C69" t="s">
        <v>41</v>
      </c>
      <c r="D69" t="s">
        <v>0</v>
      </c>
      <c r="E69">
        <v>8</v>
      </c>
      <c r="F69">
        <v>0</v>
      </c>
      <c r="G69">
        <v>0</v>
      </c>
      <c r="H69" t="b">
        <v>1</v>
      </c>
      <c r="I69" s="109"/>
      <c r="J69" s="9"/>
      <c r="L69">
        <v>100</v>
      </c>
      <c r="M69" t="b">
        <v>0</v>
      </c>
      <c r="N69">
        <v>0</v>
      </c>
      <c r="O69">
        <v>0</v>
      </c>
    </row>
    <row r="70" spans="2:15" x14ac:dyDescent="0.35">
      <c r="B70" t="s">
        <v>40</v>
      </c>
      <c r="C70" t="s">
        <v>453</v>
      </c>
      <c r="D70" t="s">
        <v>1</v>
      </c>
      <c r="E70">
        <v>10</v>
      </c>
      <c r="F70">
        <v>0</v>
      </c>
      <c r="G70">
        <v>0</v>
      </c>
      <c r="H70" t="b">
        <v>1</v>
      </c>
      <c r="I70" s="109"/>
      <c r="J70" s="9"/>
      <c r="L70">
        <v>500</v>
      </c>
      <c r="M70" t="b">
        <v>0</v>
      </c>
      <c r="N70">
        <v>500</v>
      </c>
      <c r="O70">
        <v>0</v>
      </c>
    </row>
    <row r="71" spans="2:15" x14ac:dyDescent="0.35">
      <c r="B71" t="s">
        <v>40</v>
      </c>
      <c r="C71" t="s">
        <v>42</v>
      </c>
      <c r="D71" t="s">
        <v>0</v>
      </c>
      <c r="E71">
        <v>8</v>
      </c>
      <c r="F71">
        <v>0</v>
      </c>
      <c r="G71">
        <v>0</v>
      </c>
      <c r="H71" t="b">
        <v>1</v>
      </c>
      <c r="I71" s="109" t="s">
        <v>412</v>
      </c>
      <c r="J71" s="9"/>
      <c r="L71">
        <v>10</v>
      </c>
      <c r="M71" t="b">
        <v>0</v>
      </c>
      <c r="N71">
        <v>0</v>
      </c>
      <c r="O71">
        <v>0</v>
      </c>
    </row>
    <row r="72" spans="2:15" x14ac:dyDescent="0.35">
      <c r="B72" t="s">
        <v>210</v>
      </c>
      <c r="C72" t="s">
        <v>213</v>
      </c>
      <c r="D72" t="s">
        <v>117</v>
      </c>
      <c r="E72">
        <v>0</v>
      </c>
      <c r="F72">
        <v>0</v>
      </c>
      <c r="G72">
        <v>0</v>
      </c>
      <c r="H72" t="b">
        <v>0</v>
      </c>
      <c r="I72" s="127"/>
      <c r="J72" s="10"/>
      <c r="K72" s="27"/>
      <c r="L72">
        <v>0</v>
      </c>
      <c r="M72" t="b">
        <v>0</v>
      </c>
      <c r="N72">
        <v>0</v>
      </c>
      <c r="O72">
        <v>0.5</v>
      </c>
    </row>
    <row r="73" spans="2:15" x14ac:dyDescent="0.35">
      <c r="B73" t="s">
        <v>224</v>
      </c>
      <c r="C73" t="s">
        <v>225</v>
      </c>
      <c r="E73">
        <v>15</v>
      </c>
      <c r="F73">
        <v>1</v>
      </c>
      <c r="G73">
        <v>0</v>
      </c>
      <c r="H73" t="b">
        <v>1</v>
      </c>
      <c r="I73" s="109" t="s">
        <v>413</v>
      </c>
      <c r="J73" s="9" t="s">
        <v>344</v>
      </c>
      <c r="K73" t="s">
        <v>325</v>
      </c>
      <c r="L73">
        <v>10000</v>
      </c>
      <c r="M73" t="b">
        <v>1</v>
      </c>
      <c r="N73">
        <v>10000</v>
      </c>
      <c r="O73">
        <v>1</v>
      </c>
    </row>
    <row r="74" spans="2:15" x14ac:dyDescent="0.35">
      <c r="B74" t="s">
        <v>270</v>
      </c>
      <c r="C74" t="s">
        <v>428</v>
      </c>
      <c r="E74">
        <v>5</v>
      </c>
      <c r="F74">
        <v>1</v>
      </c>
      <c r="G74">
        <v>0</v>
      </c>
      <c r="H74" t="b">
        <v>0</v>
      </c>
      <c r="I74" s="109" t="s">
        <v>446</v>
      </c>
      <c r="J74" s="9"/>
      <c r="L74">
        <v>100</v>
      </c>
      <c r="M74" t="b">
        <v>0</v>
      </c>
      <c r="N74">
        <v>100</v>
      </c>
      <c r="O74">
        <v>1</v>
      </c>
    </row>
    <row r="75" spans="2:15" x14ac:dyDescent="0.35">
      <c r="B75" t="s">
        <v>270</v>
      </c>
      <c r="C75" t="s">
        <v>429</v>
      </c>
      <c r="E75">
        <v>5</v>
      </c>
      <c r="F75">
        <v>4</v>
      </c>
      <c r="G75">
        <v>0</v>
      </c>
      <c r="H75" t="b">
        <v>0</v>
      </c>
      <c r="I75" s="109" t="s">
        <v>447</v>
      </c>
      <c r="J75" s="9"/>
      <c r="L75">
        <v>1000</v>
      </c>
      <c r="M75" t="b">
        <v>0</v>
      </c>
      <c r="N75">
        <v>1000</v>
      </c>
      <c r="O75">
        <v>1</v>
      </c>
    </row>
    <row r="76" spans="2:15" x14ac:dyDescent="0.35">
      <c r="B76" t="s">
        <v>270</v>
      </c>
      <c r="C76" t="s">
        <v>430</v>
      </c>
      <c r="E76">
        <v>5</v>
      </c>
      <c r="F76">
        <v>16</v>
      </c>
      <c r="G76">
        <v>0</v>
      </c>
      <c r="H76" t="b">
        <v>0</v>
      </c>
      <c r="I76" s="109" t="s">
        <v>448</v>
      </c>
      <c r="J76" s="9"/>
      <c r="L76">
        <v>10000</v>
      </c>
      <c r="M76" t="b">
        <v>0</v>
      </c>
      <c r="N76">
        <v>10000</v>
      </c>
      <c r="O76">
        <v>1</v>
      </c>
    </row>
    <row r="77" spans="2:15" x14ac:dyDescent="0.35">
      <c r="B77" t="s">
        <v>507</v>
      </c>
      <c r="C77" t="s">
        <v>628</v>
      </c>
      <c r="D77" t="s">
        <v>0</v>
      </c>
      <c r="E77">
        <v>8</v>
      </c>
      <c r="F77">
        <v>0</v>
      </c>
      <c r="G77">
        <v>0.5</v>
      </c>
      <c r="H77" t="b">
        <v>0</v>
      </c>
      <c r="I77" s="109" t="s">
        <v>511</v>
      </c>
      <c r="J77" s="9"/>
      <c r="L77">
        <v>1000</v>
      </c>
      <c r="M77" t="b">
        <v>1</v>
      </c>
      <c r="N77">
        <v>1000</v>
      </c>
      <c r="O77">
        <v>1</v>
      </c>
    </row>
    <row r="78" spans="2:15" x14ac:dyDescent="0.35">
      <c r="B78" t="s">
        <v>507</v>
      </c>
      <c r="C78" t="s">
        <v>629</v>
      </c>
      <c r="D78" t="s">
        <v>1</v>
      </c>
      <c r="E78">
        <v>10</v>
      </c>
      <c r="F78">
        <v>0</v>
      </c>
      <c r="G78">
        <v>0.5</v>
      </c>
      <c r="H78" t="b">
        <v>0</v>
      </c>
      <c r="I78" s="109" t="s">
        <v>512</v>
      </c>
      <c r="J78" s="9"/>
      <c r="L78">
        <v>2000</v>
      </c>
      <c r="M78" t="b">
        <v>1</v>
      </c>
      <c r="N78">
        <v>2000</v>
      </c>
      <c r="O78">
        <v>1</v>
      </c>
    </row>
    <row r="79" spans="2:15" x14ac:dyDescent="0.35">
      <c r="B79" t="s">
        <v>507</v>
      </c>
      <c r="C79" t="s">
        <v>630</v>
      </c>
      <c r="D79" t="s">
        <v>2</v>
      </c>
      <c r="E79">
        <v>12</v>
      </c>
      <c r="F79">
        <v>0</v>
      </c>
      <c r="G79">
        <v>0.5</v>
      </c>
      <c r="H79" t="b">
        <v>0</v>
      </c>
      <c r="I79" s="109" t="s">
        <v>513</v>
      </c>
      <c r="J79" s="9"/>
      <c r="L79">
        <v>5000</v>
      </c>
      <c r="M79" t="b">
        <v>1</v>
      </c>
      <c r="N79">
        <v>5000</v>
      </c>
      <c r="O79">
        <v>1</v>
      </c>
    </row>
    <row r="80" spans="2:15" x14ac:dyDescent="0.35">
      <c r="B80" t="s">
        <v>507</v>
      </c>
      <c r="C80" t="s">
        <v>631</v>
      </c>
      <c r="D80" t="s">
        <v>3</v>
      </c>
      <c r="E80">
        <v>14</v>
      </c>
      <c r="F80">
        <v>0</v>
      </c>
      <c r="G80">
        <v>0.5</v>
      </c>
      <c r="H80" t="b">
        <v>0</v>
      </c>
      <c r="I80" s="109" t="s">
        <v>514</v>
      </c>
      <c r="J80" s="9"/>
      <c r="L80">
        <v>10000</v>
      </c>
      <c r="M80" t="b">
        <v>1</v>
      </c>
      <c r="N80">
        <v>10000</v>
      </c>
      <c r="O80">
        <v>1</v>
      </c>
    </row>
    <row r="81" spans="2:15" x14ac:dyDescent="0.35">
      <c r="B81" t="s">
        <v>507</v>
      </c>
      <c r="C81" t="s">
        <v>632</v>
      </c>
      <c r="D81" t="s">
        <v>96</v>
      </c>
      <c r="E81">
        <v>16</v>
      </c>
      <c r="F81">
        <v>0</v>
      </c>
      <c r="G81">
        <v>0.5</v>
      </c>
      <c r="H81" t="b">
        <v>0</v>
      </c>
      <c r="I81" s="109" t="s">
        <v>515</v>
      </c>
      <c r="J81" s="9"/>
      <c r="L81">
        <v>20000</v>
      </c>
      <c r="M81" t="b">
        <v>1</v>
      </c>
      <c r="N81">
        <v>20000</v>
      </c>
      <c r="O81">
        <v>1</v>
      </c>
    </row>
    <row r="82" spans="2:15" x14ac:dyDescent="0.35">
      <c r="B82" t="s">
        <v>270</v>
      </c>
      <c r="C82" t="s">
        <v>192</v>
      </c>
      <c r="D82" t="s">
        <v>0</v>
      </c>
      <c r="E82">
        <v>8</v>
      </c>
      <c r="F82">
        <v>2</v>
      </c>
      <c r="G82">
        <v>0</v>
      </c>
      <c r="H82" t="b">
        <v>0</v>
      </c>
      <c r="I82" s="109" t="s">
        <v>389</v>
      </c>
      <c r="L82">
        <v>500</v>
      </c>
      <c r="M82" t="b">
        <v>0</v>
      </c>
      <c r="N82">
        <v>500</v>
      </c>
      <c r="O82">
        <v>1</v>
      </c>
    </row>
    <row r="83" spans="2:15" x14ac:dyDescent="0.35">
      <c r="B83" t="s">
        <v>270</v>
      </c>
      <c r="C83" t="s">
        <v>193</v>
      </c>
      <c r="D83" t="s">
        <v>1</v>
      </c>
      <c r="E83">
        <v>9</v>
      </c>
      <c r="F83">
        <v>2</v>
      </c>
      <c r="G83">
        <v>0</v>
      </c>
      <c r="H83" t="b">
        <v>0</v>
      </c>
      <c r="I83" s="109" t="s">
        <v>390</v>
      </c>
      <c r="L83">
        <v>1000</v>
      </c>
      <c r="M83" t="b">
        <v>0</v>
      </c>
      <c r="N83">
        <v>1000</v>
      </c>
      <c r="O83">
        <v>1</v>
      </c>
    </row>
    <row r="84" spans="2:15" x14ac:dyDescent="0.35">
      <c r="B84" t="s">
        <v>270</v>
      </c>
      <c r="C84" t="s">
        <v>194</v>
      </c>
      <c r="D84" t="s">
        <v>2</v>
      </c>
      <c r="E84">
        <v>10</v>
      </c>
      <c r="F84">
        <v>2</v>
      </c>
      <c r="G84">
        <v>0</v>
      </c>
      <c r="H84" t="b">
        <v>0</v>
      </c>
      <c r="I84" s="109" t="s">
        <v>391</v>
      </c>
      <c r="L84">
        <v>2000</v>
      </c>
      <c r="M84" t="b">
        <v>0</v>
      </c>
      <c r="N84">
        <v>2000</v>
      </c>
      <c r="O84">
        <v>1</v>
      </c>
    </row>
    <row r="85" spans="2:15" x14ac:dyDescent="0.35">
      <c r="B85" t="s">
        <v>270</v>
      </c>
      <c r="C85" t="s">
        <v>195</v>
      </c>
      <c r="D85" t="s">
        <v>3</v>
      </c>
      <c r="E85">
        <v>11</v>
      </c>
      <c r="F85">
        <v>2</v>
      </c>
      <c r="G85">
        <v>0</v>
      </c>
      <c r="H85" t="b">
        <v>0</v>
      </c>
      <c r="I85" s="109" t="s">
        <v>392</v>
      </c>
      <c r="L85">
        <v>5000</v>
      </c>
      <c r="M85" t="b">
        <v>0</v>
      </c>
      <c r="N85">
        <v>5000</v>
      </c>
      <c r="O85">
        <v>1</v>
      </c>
    </row>
    <row r="86" spans="2:15" x14ac:dyDescent="0.35">
      <c r="B86" t="s">
        <v>270</v>
      </c>
      <c r="C86" t="s">
        <v>196</v>
      </c>
      <c r="D86" t="s">
        <v>0</v>
      </c>
      <c r="E86">
        <v>9</v>
      </c>
      <c r="F86">
        <v>3</v>
      </c>
      <c r="G86">
        <v>0</v>
      </c>
      <c r="H86" t="b">
        <v>0</v>
      </c>
      <c r="I86" s="109" t="s">
        <v>389</v>
      </c>
      <c r="L86">
        <v>500</v>
      </c>
      <c r="M86" t="b">
        <v>0</v>
      </c>
      <c r="N86">
        <v>500</v>
      </c>
      <c r="O86">
        <v>1</v>
      </c>
    </row>
    <row r="87" spans="2:15" x14ac:dyDescent="0.35">
      <c r="B87" t="s">
        <v>270</v>
      </c>
      <c r="C87" t="s">
        <v>197</v>
      </c>
      <c r="D87" t="s">
        <v>1</v>
      </c>
      <c r="E87">
        <v>10</v>
      </c>
      <c r="F87">
        <v>3</v>
      </c>
      <c r="G87">
        <v>0</v>
      </c>
      <c r="H87" t="b">
        <v>0</v>
      </c>
      <c r="I87" s="109" t="s">
        <v>390</v>
      </c>
      <c r="L87">
        <v>2000</v>
      </c>
      <c r="M87" t="b">
        <v>0</v>
      </c>
      <c r="N87">
        <v>2000</v>
      </c>
      <c r="O87">
        <v>1</v>
      </c>
    </row>
    <row r="88" spans="2:15" x14ac:dyDescent="0.35">
      <c r="B88" t="s">
        <v>270</v>
      </c>
      <c r="C88" t="s">
        <v>198</v>
      </c>
      <c r="D88" t="s">
        <v>2</v>
      </c>
      <c r="E88">
        <v>11</v>
      </c>
      <c r="F88">
        <v>3</v>
      </c>
      <c r="G88">
        <v>0</v>
      </c>
      <c r="H88" t="b">
        <v>0</v>
      </c>
      <c r="I88" s="109" t="s">
        <v>391</v>
      </c>
      <c r="L88">
        <v>5000</v>
      </c>
      <c r="M88" t="b">
        <v>0</v>
      </c>
      <c r="N88">
        <v>5000</v>
      </c>
      <c r="O88">
        <v>1</v>
      </c>
    </row>
    <row r="89" spans="2:15" x14ac:dyDescent="0.35">
      <c r="B89" t="s">
        <v>270</v>
      </c>
      <c r="C89" t="s">
        <v>199</v>
      </c>
      <c r="D89" t="s">
        <v>3</v>
      </c>
      <c r="E89">
        <v>12</v>
      </c>
      <c r="F89">
        <v>3</v>
      </c>
      <c r="G89">
        <v>0</v>
      </c>
      <c r="H89" t="b">
        <v>0</v>
      </c>
      <c r="I89" s="109" t="s">
        <v>392</v>
      </c>
      <c r="L89">
        <v>10000</v>
      </c>
      <c r="M89" t="b">
        <v>0</v>
      </c>
      <c r="N89">
        <v>10000</v>
      </c>
      <c r="O89">
        <v>1</v>
      </c>
    </row>
    <row r="90" spans="2:15" x14ac:dyDescent="0.35">
      <c r="B90" t="s">
        <v>270</v>
      </c>
      <c r="C90" t="s">
        <v>226</v>
      </c>
      <c r="D90" t="s">
        <v>1</v>
      </c>
      <c r="E90">
        <v>7</v>
      </c>
      <c r="F90">
        <v>1</v>
      </c>
      <c r="G90">
        <v>0</v>
      </c>
      <c r="H90" t="b">
        <v>0</v>
      </c>
      <c r="I90" s="109"/>
      <c r="J90" s="9"/>
      <c r="K90" t="s">
        <v>326</v>
      </c>
      <c r="L90">
        <v>7500</v>
      </c>
      <c r="M90" t="b">
        <v>0</v>
      </c>
      <c r="N90">
        <v>7500</v>
      </c>
      <c r="O90">
        <v>1</v>
      </c>
    </row>
    <row r="91" spans="2:15" x14ac:dyDescent="0.35">
      <c r="B91" t="s">
        <v>270</v>
      </c>
      <c r="C91" t="s">
        <v>227</v>
      </c>
      <c r="D91" t="s">
        <v>2</v>
      </c>
      <c r="E91">
        <v>9</v>
      </c>
      <c r="F91">
        <v>1</v>
      </c>
      <c r="G91">
        <v>0</v>
      </c>
      <c r="H91" t="b">
        <v>0</v>
      </c>
      <c r="I91" s="109"/>
      <c r="J91" s="9"/>
      <c r="K91" t="s">
        <v>327</v>
      </c>
      <c r="L91">
        <v>10000</v>
      </c>
      <c r="M91" t="b">
        <v>0</v>
      </c>
      <c r="N91">
        <v>10000</v>
      </c>
      <c r="O91">
        <v>1</v>
      </c>
    </row>
    <row r="92" spans="2:15" x14ac:dyDescent="0.35">
      <c r="B92" t="s">
        <v>270</v>
      </c>
      <c r="C92" t="s">
        <v>228</v>
      </c>
      <c r="D92" t="s">
        <v>3</v>
      </c>
      <c r="E92">
        <v>11</v>
      </c>
      <c r="F92">
        <v>1</v>
      </c>
      <c r="G92">
        <v>0</v>
      </c>
      <c r="H92" t="b">
        <v>0</v>
      </c>
      <c r="I92" s="109"/>
      <c r="J92" s="9"/>
      <c r="K92" t="s">
        <v>328</v>
      </c>
      <c r="L92">
        <v>15000</v>
      </c>
      <c r="M92" t="b">
        <v>0</v>
      </c>
      <c r="N92">
        <v>15000</v>
      </c>
      <c r="O92">
        <v>1</v>
      </c>
    </row>
    <row r="93" spans="2:15" x14ac:dyDescent="0.35">
      <c r="B93" t="s">
        <v>40</v>
      </c>
      <c r="C93" t="s">
        <v>617</v>
      </c>
      <c r="D93" t="s">
        <v>0</v>
      </c>
      <c r="E93">
        <v>11</v>
      </c>
      <c r="F93">
        <v>2</v>
      </c>
      <c r="G93">
        <v>0</v>
      </c>
      <c r="H93" t="b">
        <v>0</v>
      </c>
      <c r="I93" s="109" t="s">
        <v>811</v>
      </c>
      <c r="J93" s="9"/>
      <c r="L93">
        <v>50000</v>
      </c>
      <c r="M93" t="b">
        <v>0</v>
      </c>
      <c r="N93">
        <v>50000</v>
      </c>
      <c r="O93">
        <v>1</v>
      </c>
    </row>
    <row r="94" spans="2:15" x14ac:dyDescent="0.35">
      <c r="B94" t="s">
        <v>40</v>
      </c>
      <c r="C94" t="s">
        <v>618</v>
      </c>
      <c r="D94" t="s">
        <v>1</v>
      </c>
      <c r="E94">
        <v>13</v>
      </c>
      <c r="F94">
        <v>1</v>
      </c>
      <c r="G94">
        <v>0</v>
      </c>
      <c r="H94" t="b">
        <v>0</v>
      </c>
      <c r="I94" s="109" t="s">
        <v>812</v>
      </c>
      <c r="J94" s="9"/>
      <c r="L94">
        <v>200000</v>
      </c>
      <c r="M94" t="b">
        <v>0</v>
      </c>
      <c r="N94">
        <v>200000</v>
      </c>
      <c r="O94">
        <v>1</v>
      </c>
    </row>
    <row r="95" spans="2:15" x14ac:dyDescent="0.35">
      <c r="B95" t="s">
        <v>40</v>
      </c>
      <c r="C95" t="s">
        <v>619</v>
      </c>
      <c r="D95" t="s">
        <v>2</v>
      </c>
      <c r="E95">
        <v>14</v>
      </c>
      <c r="F95">
        <v>1</v>
      </c>
      <c r="G95">
        <v>0</v>
      </c>
      <c r="H95" t="b">
        <v>0</v>
      </c>
      <c r="I95" s="109" t="s">
        <v>813</v>
      </c>
      <c r="J95" s="9"/>
      <c r="L95">
        <v>500000</v>
      </c>
      <c r="M95" t="b">
        <v>0</v>
      </c>
      <c r="N95">
        <v>500000</v>
      </c>
      <c r="O95">
        <v>1</v>
      </c>
    </row>
    <row r="96" spans="2:15" x14ac:dyDescent="0.35">
      <c r="B96" t="s">
        <v>40</v>
      </c>
      <c r="C96" t="s">
        <v>620</v>
      </c>
      <c r="D96" t="s">
        <v>3</v>
      </c>
      <c r="E96">
        <v>16</v>
      </c>
      <c r="F96">
        <v>1</v>
      </c>
      <c r="G96">
        <v>0</v>
      </c>
      <c r="H96" t="b">
        <v>0</v>
      </c>
      <c r="I96" s="109" t="s">
        <v>814</v>
      </c>
      <c r="J96" s="9"/>
      <c r="L96">
        <v>1000000</v>
      </c>
      <c r="M96" t="b">
        <v>0</v>
      </c>
      <c r="N96">
        <v>1000000</v>
      </c>
      <c r="O96">
        <v>1</v>
      </c>
    </row>
    <row r="97" spans="2:15" x14ac:dyDescent="0.35">
      <c r="B97" t="s">
        <v>40</v>
      </c>
      <c r="C97" t="s">
        <v>815</v>
      </c>
      <c r="E97">
        <v>11</v>
      </c>
      <c r="F97">
        <v>1</v>
      </c>
      <c r="G97">
        <v>0</v>
      </c>
      <c r="H97" t="b">
        <v>0</v>
      </c>
      <c r="I97" s="109"/>
      <c r="J97" s="9"/>
      <c r="L97">
        <v>10000</v>
      </c>
      <c r="M97" t="b">
        <v>0</v>
      </c>
      <c r="N97">
        <v>10000</v>
      </c>
      <c r="O97">
        <v>1</v>
      </c>
    </row>
    <row r="98" spans="2:15" x14ac:dyDescent="0.35">
      <c r="B98" t="s">
        <v>507</v>
      </c>
      <c r="C98" t="s">
        <v>575</v>
      </c>
      <c r="D98" t="s">
        <v>0</v>
      </c>
      <c r="E98">
        <v>11</v>
      </c>
      <c r="F98">
        <v>0</v>
      </c>
      <c r="G98">
        <v>0.75</v>
      </c>
      <c r="H98" t="b">
        <v>0</v>
      </c>
      <c r="I98" s="109"/>
      <c r="J98" s="9"/>
      <c r="L98">
        <v>2000</v>
      </c>
      <c r="M98" t="b">
        <v>1</v>
      </c>
      <c r="N98">
        <v>2000</v>
      </c>
      <c r="O98">
        <v>1</v>
      </c>
    </row>
    <row r="99" spans="2:15" x14ac:dyDescent="0.35">
      <c r="B99" t="s">
        <v>507</v>
      </c>
      <c r="C99" t="s">
        <v>576</v>
      </c>
      <c r="D99" t="s">
        <v>1</v>
      </c>
      <c r="E99">
        <v>13</v>
      </c>
      <c r="F99">
        <v>0</v>
      </c>
      <c r="G99">
        <v>0.75</v>
      </c>
      <c r="H99" t="b">
        <v>0</v>
      </c>
      <c r="I99" s="109"/>
      <c r="J99" s="9"/>
      <c r="L99">
        <v>5000</v>
      </c>
      <c r="M99" t="b">
        <v>1</v>
      </c>
      <c r="N99">
        <v>5000</v>
      </c>
      <c r="O99">
        <v>1</v>
      </c>
    </row>
    <row r="100" spans="2:15" x14ac:dyDescent="0.35">
      <c r="B100" t="s">
        <v>507</v>
      </c>
      <c r="C100" t="s">
        <v>577</v>
      </c>
      <c r="D100" t="s">
        <v>2</v>
      </c>
      <c r="E100">
        <v>15</v>
      </c>
      <c r="F100">
        <v>0</v>
      </c>
      <c r="G100">
        <v>0.75</v>
      </c>
      <c r="H100" t="b">
        <v>0</v>
      </c>
      <c r="I100" s="109"/>
      <c r="J100" s="9"/>
      <c r="L100">
        <v>10000</v>
      </c>
      <c r="M100" t="b">
        <v>1</v>
      </c>
      <c r="N100">
        <v>10000</v>
      </c>
      <c r="O100">
        <v>1</v>
      </c>
    </row>
    <row r="101" spans="2:15" x14ac:dyDescent="0.35">
      <c r="B101" t="s">
        <v>507</v>
      </c>
      <c r="C101" t="s">
        <v>578</v>
      </c>
      <c r="D101" t="s">
        <v>3</v>
      </c>
      <c r="E101">
        <v>17</v>
      </c>
      <c r="F101">
        <v>0</v>
      </c>
      <c r="G101">
        <v>0.75</v>
      </c>
      <c r="H101" t="b">
        <v>0</v>
      </c>
      <c r="I101" s="109"/>
      <c r="J101" s="9"/>
      <c r="L101">
        <v>20000</v>
      </c>
      <c r="M101" t="b">
        <v>1</v>
      </c>
      <c r="N101">
        <v>20000</v>
      </c>
      <c r="O101">
        <v>1</v>
      </c>
    </row>
    <row r="102" spans="2:15" x14ac:dyDescent="0.35">
      <c r="B102" t="s">
        <v>270</v>
      </c>
      <c r="C102" t="s">
        <v>603</v>
      </c>
      <c r="D102" t="s">
        <v>0</v>
      </c>
      <c r="E102">
        <v>6</v>
      </c>
      <c r="F102">
        <v>1</v>
      </c>
      <c r="G102">
        <v>0</v>
      </c>
      <c r="H102" t="b">
        <v>0</v>
      </c>
      <c r="I102" s="109" t="s">
        <v>607</v>
      </c>
      <c r="J102" s="9"/>
      <c r="L102">
        <v>1000</v>
      </c>
      <c r="M102" t="b">
        <v>0</v>
      </c>
      <c r="N102">
        <v>1000</v>
      </c>
      <c r="O102">
        <v>1</v>
      </c>
    </row>
    <row r="103" spans="2:15" x14ac:dyDescent="0.35">
      <c r="B103" t="s">
        <v>270</v>
      </c>
      <c r="C103" t="s">
        <v>604</v>
      </c>
      <c r="D103" t="s">
        <v>1</v>
      </c>
      <c r="E103">
        <v>8</v>
      </c>
      <c r="F103">
        <v>1</v>
      </c>
      <c r="G103">
        <v>0</v>
      </c>
      <c r="H103" t="b">
        <v>0</v>
      </c>
      <c r="I103" s="109" t="s">
        <v>608</v>
      </c>
      <c r="J103" s="9"/>
      <c r="L103">
        <v>2000</v>
      </c>
      <c r="M103" t="b">
        <v>0</v>
      </c>
      <c r="N103">
        <v>2000</v>
      </c>
      <c r="O103">
        <v>1</v>
      </c>
    </row>
    <row r="104" spans="2:15" x14ac:dyDescent="0.35">
      <c r="B104" t="s">
        <v>270</v>
      </c>
      <c r="C104" t="s">
        <v>605</v>
      </c>
      <c r="D104" t="s">
        <v>2</v>
      </c>
      <c r="E104">
        <v>10</v>
      </c>
      <c r="F104">
        <v>1</v>
      </c>
      <c r="G104">
        <v>0</v>
      </c>
      <c r="H104" t="b">
        <v>0</v>
      </c>
      <c r="I104" s="109" t="s">
        <v>609</v>
      </c>
      <c r="J104" s="9"/>
      <c r="L104">
        <v>5000</v>
      </c>
      <c r="M104" t="b">
        <v>0</v>
      </c>
      <c r="N104">
        <v>5000</v>
      </c>
      <c r="O104">
        <v>1</v>
      </c>
    </row>
    <row r="105" spans="2:15" x14ac:dyDescent="0.35">
      <c r="B105" t="s">
        <v>270</v>
      </c>
      <c r="C105" t="s">
        <v>606</v>
      </c>
      <c r="D105" t="s">
        <v>3</v>
      </c>
      <c r="E105">
        <v>13</v>
      </c>
      <c r="F105">
        <v>1</v>
      </c>
      <c r="G105">
        <v>0</v>
      </c>
      <c r="H105" t="b">
        <v>0</v>
      </c>
      <c r="I105" s="109" t="s">
        <v>610</v>
      </c>
      <c r="J105" s="9"/>
      <c r="L105">
        <v>20000</v>
      </c>
      <c r="M105" t="b">
        <v>0</v>
      </c>
      <c r="N105">
        <v>20000</v>
      </c>
      <c r="O105">
        <v>1</v>
      </c>
    </row>
    <row r="106" spans="2:15" x14ac:dyDescent="0.35">
      <c r="B106" t="s">
        <v>9</v>
      </c>
      <c r="C106" t="s">
        <v>280</v>
      </c>
      <c r="E106">
        <v>15</v>
      </c>
      <c r="F106">
        <v>2</v>
      </c>
      <c r="G106">
        <v>0</v>
      </c>
      <c r="H106" t="b">
        <v>0</v>
      </c>
      <c r="I106" s="109"/>
      <c r="J106" s="9"/>
      <c r="L106">
        <v>350000</v>
      </c>
      <c r="M106" t="b">
        <v>0</v>
      </c>
      <c r="N106">
        <v>350000</v>
      </c>
      <c r="O106">
        <v>1</v>
      </c>
    </row>
    <row r="107" spans="2:15" x14ac:dyDescent="0.35">
      <c r="B107" t="s">
        <v>270</v>
      </c>
      <c r="C107" t="s">
        <v>434</v>
      </c>
      <c r="E107">
        <v>5</v>
      </c>
      <c r="F107">
        <v>2</v>
      </c>
      <c r="G107">
        <v>0</v>
      </c>
      <c r="H107" t="b">
        <v>0</v>
      </c>
      <c r="I107" s="109" t="s">
        <v>444</v>
      </c>
      <c r="J107" s="9"/>
      <c r="L107">
        <v>500</v>
      </c>
      <c r="M107" t="b">
        <v>0</v>
      </c>
      <c r="N107">
        <v>500</v>
      </c>
      <c r="O107">
        <v>1</v>
      </c>
    </row>
    <row r="108" spans="2:15" x14ac:dyDescent="0.35">
      <c r="B108" t="s">
        <v>270</v>
      </c>
      <c r="C108" t="s">
        <v>435</v>
      </c>
      <c r="E108">
        <v>5</v>
      </c>
      <c r="F108">
        <v>8</v>
      </c>
      <c r="G108">
        <v>0</v>
      </c>
      <c r="H108" t="b">
        <v>0</v>
      </c>
      <c r="I108" s="109" t="s">
        <v>440</v>
      </c>
      <c r="J108" s="9"/>
      <c r="L108">
        <v>5000</v>
      </c>
      <c r="M108" t="b">
        <v>0</v>
      </c>
      <c r="N108">
        <v>5000</v>
      </c>
      <c r="O108">
        <v>1</v>
      </c>
    </row>
    <row r="109" spans="2:15" x14ac:dyDescent="0.35">
      <c r="B109" t="s">
        <v>270</v>
      </c>
      <c r="C109" t="s">
        <v>436</v>
      </c>
      <c r="E109">
        <v>5</v>
      </c>
      <c r="F109">
        <v>32</v>
      </c>
      <c r="G109">
        <v>0</v>
      </c>
      <c r="H109" t="b">
        <v>0</v>
      </c>
      <c r="I109" s="109" t="s">
        <v>443</v>
      </c>
      <c r="J109" s="9"/>
      <c r="L109">
        <v>50000</v>
      </c>
      <c r="M109" t="b">
        <v>0</v>
      </c>
      <c r="N109">
        <v>50000</v>
      </c>
      <c r="O109">
        <v>1</v>
      </c>
    </row>
    <row r="110" spans="2:15" x14ac:dyDescent="0.35">
      <c r="B110" t="s">
        <v>224</v>
      </c>
      <c r="C110" t="s">
        <v>101</v>
      </c>
      <c r="D110" t="s">
        <v>0</v>
      </c>
      <c r="E110">
        <v>9</v>
      </c>
      <c r="F110">
        <v>1</v>
      </c>
      <c r="G110">
        <v>0</v>
      </c>
      <c r="H110" t="b">
        <v>1</v>
      </c>
      <c r="I110" s="127" t="s">
        <v>403</v>
      </c>
      <c r="L110">
        <v>600</v>
      </c>
      <c r="M110" t="b">
        <v>1</v>
      </c>
      <c r="N110">
        <v>600</v>
      </c>
      <c r="O110">
        <v>1</v>
      </c>
    </row>
    <row r="111" spans="2:15" x14ac:dyDescent="0.35">
      <c r="B111" t="s">
        <v>254</v>
      </c>
      <c r="C111" t="s">
        <v>558</v>
      </c>
      <c r="D111" t="s">
        <v>0</v>
      </c>
      <c r="E111">
        <v>5</v>
      </c>
      <c r="F111">
        <v>2</v>
      </c>
      <c r="H111" t="b">
        <v>0</v>
      </c>
      <c r="I111" s="127"/>
      <c r="J111" s="9"/>
      <c r="L111">
        <v>500</v>
      </c>
      <c r="M111" t="b">
        <v>0</v>
      </c>
      <c r="N111">
        <v>500</v>
      </c>
      <c r="O111">
        <v>1</v>
      </c>
    </row>
    <row r="112" spans="2:15" x14ac:dyDescent="0.35">
      <c r="B112" t="s">
        <v>254</v>
      </c>
      <c r="C112" t="s">
        <v>611</v>
      </c>
      <c r="D112" t="s">
        <v>1</v>
      </c>
      <c r="E112">
        <v>9</v>
      </c>
      <c r="F112">
        <v>2</v>
      </c>
      <c r="H112" t="b">
        <v>0</v>
      </c>
      <c r="I112" s="127"/>
      <c r="J112" s="9"/>
      <c r="L112">
        <v>5000</v>
      </c>
      <c r="M112" t="b">
        <v>0</v>
      </c>
      <c r="N112">
        <v>5000</v>
      </c>
      <c r="O112">
        <v>1</v>
      </c>
    </row>
    <row r="113" spans="2:15" x14ac:dyDescent="0.35">
      <c r="B113" t="s">
        <v>254</v>
      </c>
      <c r="C113" t="s">
        <v>559</v>
      </c>
      <c r="D113" t="s">
        <v>3</v>
      </c>
      <c r="E113">
        <v>14</v>
      </c>
      <c r="F113">
        <v>1</v>
      </c>
      <c r="H113" t="b">
        <v>0</v>
      </c>
      <c r="I113" s="127"/>
      <c r="J113" s="9"/>
      <c r="L113">
        <v>5000</v>
      </c>
      <c r="M113" t="b">
        <v>0</v>
      </c>
      <c r="N113">
        <v>5000</v>
      </c>
      <c r="O113">
        <v>1</v>
      </c>
    </row>
    <row r="114" spans="2:15" x14ac:dyDescent="0.35">
      <c r="B114" t="s">
        <v>9</v>
      </c>
      <c r="C114" t="s">
        <v>281</v>
      </c>
      <c r="E114">
        <v>14</v>
      </c>
      <c r="F114">
        <v>3</v>
      </c>
      <c r="G114">
        <v>0</v>
      </c>
      <c r="H114" t="b">
        <v>0</v>
      </c>
      <c r="I114" s="109" t="s">
        <v>396</v>
      </c>
      <c r="J114" s="9"/>
      <c r="L114">
        <v>20000</v>
      </c>
      <c r="M114" t="b">
        <v>0</v>
      </c>
      <c r="N114">
        <v>20000</v>
      </c>
      <c r="O114">
        <v>1</v>
      </c>
    </row>
    <row r="115" spans="2:15" x14ac:dyDescent="0.35">
      <c r="B115" t="s">
        <v>422</v>
      </c>
      <c r="C115" t="s">
        <v>424</v>
      </c>
      <c r="E115">
        <v>5</v>
      </c>
      <c r="F115">
        <v>1</v>
      </c>
      <c r="G115">
        <v>0</v>
      </c>
      <c r="H115" t="b">
        <v>0</v>
      </c>
      <c r="I115" s="109" t="s">
        <v>439</v>
      </c>
      <c r="J115" s="9"/>
      <c r="L115">
        <v>100</v>
      </c>
      <c r="M115" t="b">
        <v>0</v>
      </c>
      <c r="N115">
        <v>100</v>
      </c>
      <c r="O115">
        <v>1</v>
      </c>
    </row>
    <row r="116" spans="2:15" x14ac:dyDescent="0.35">
      <c r="B116" t="s">
        <v>422</v>
      </c>
      <c r="C116" t="s">
        <v>423</v>
      </c>
      <c r="E116">
        <v>5</v>
      </c>
      <c r="F116">
        <v>4</v>
      </c>
      <c r="G116">
        <v>0</v>
      </c>
      <c r="H116" t="b">
        <v>0</v>
      </c>
      <c r="I116" s="109" t="s">
        <v>441</v>
      </c>
      <c r="J116" s="9"/>
      <c r="L116">
        <v>1000</v>
      </c>
      <c r="M116" t="b">
        <v>0</v>
      </c>
      <c r="N116">
        <v>1000</v>
      </c>
      <c r="O116">
        <v>1</v>
      </c>
    </row>
    <row r="117" spans="2:15" x14ac:dyDescent="0.35">
      <c r="B117" t="s">
        <v>422</v>
      </c>
      <c r="C117" t="s">
        <v>438</v>
      </c>
      <c r="E117">
        <v>5</v>
      </c>
      <c r="F117">
        <v>8</v>
      </c>
      <c r="G117">
        <v>0</v>
      </c>
      <c r="H117" t="b">
        <v>0</v>
      </c>
      <c r="I117" s="109" t="s">
        <v>442</v>
      </c>
      <c r="J117" s="9"/>
      <c r="L117">
        <v>5000</v>
      </c>
      <c r="M117" t="b">
        <v>0</v>
      </c>
      <c r="N117">
        <v>5000</v>
      </c>
      <c r="O117">
        <v>1</v>
      </c>
    </row>
    <row r="118" spans="2:15" x14ac:dyDescent="0.35">
      <c r="B118" t="s">
        <v>285</v>
      </c>
      <c r="C118" t="s">
        <v>287</v>
      </c>
      <c r="D118" t="s">
        <v>14</v>
      </c>
      <c r="E118">
        <v>5</v>
      </c>
      <c r="F118">
        <v>2</v>
      </c>
      <c r="G118">
        <v>0</v>
      </c>
      <c r="H118" t="b">
        <v>0</v>
      </c>
      <c r="I118" s="109" t="s">
        <v>654</v>
      </c>
      <c r="J118" s="9"/>
      <c r="L118">
        <v>1000</v>
      </c>
      <c r="M118" t="b">
        <v>0</v>
      </c>
      <c r="N118">
        <v>1000</v>
      </c>
      <c r="O118">
        <v>1</v>
      </c>
    </row>
    <row r="119" spans="2:15" x14ac:dyDescent="0.35">
      <c r="B119" t="s">
        <v>285</v>
      </c>
      <c r="C119" t="s">
        <v>286</v>
      </c>
      <c r="D119" t="s">
        <v>0</v>
      </c>
      <c r="E119">
        <v>7</v>
      </c>
      <c r="F119">
        <v>1</v>
      </c>
      <c r="G119">
        <v>0</v>
      </c>
      <c r="H119" t="b">
        <v>0</v>
      </c>
      <c r="I119" s="109" t="s">
        <v>655</v>
      </c>
      <c r="J119" s="9"/>
      <c r="L119">
        <v>2000</v>
      </c>
      <c r="M119" t="b">
        <v>0</v>
      </c>
      <c r="N119">
        <v>2000</v>
      </c>
      <c r="O119">
        <v>1</v>
      </c>
    </row>
    <row r="120" spans="2:15" x14ac:dyDescent="0.35">
      <c r="B120" t="s">
        <v>254</v>
      </c>
      <c r="C120" t="s">
        <v>259</v>
      </c>
      <c r="D120" t="s">
        <v>0</v>
      </c>
      <c r="E120">
        <v>6</v>
      </c>
      <c r="F120">
        <v>1</v>
      </c>
      <c r="G120">
        <v>0</v>
      </c>
      <c r="H120" t="b">
        <v>0</v>
      </c>
      <c r="I120" s="109" t="s">
        <v>389</v>
      </c>
      <c r="J120" s="9"/>
      <c r="L120">
        <v>2000</v>
      </c>
      <c r="M120" t="b">
        <v>0</v>
      </c>
      <c r="N120">
        <v>2000</v>
      </c>
      <c r="O120">
        <v>1</v>
      </c>
    </row>
    <row r="121" spans="2:15" x14ac:dyDescent="0.35">
      <c r="B121" t="s">
        <v>254</v>
      </c>
      <c r="C121" t="s">
        <v>260</v>
      </c>
      <c r="D121" t="s">
        <v>1</v>
      </c>
      <c r="E121">
        <v>8</v>
      </c>
      <c r="F121">
        <v>1</v>
      </c>
      <c r="G121">
        <v>0</v>
      </c>
      <c r="H121" t="b">
        <v>0</v>
      </c>
      <c r="I121" s="109" t="s">
        <v>390</v>
      </c>
      <c r="J121" s="9"/>
      <c r="L121">
        <v>4000</v>
      </c>
      <c r="M121" t="b">
        <v>0</v>
      </c>
      <c r="N121">
        <v>4000</v>
      </c>
      <c r="O121">
        <v>1</v>
      </c>
    </row>
    <row r="122" spans="2:15" x14ac:dyDescent="0.35">
      <c r="B122" t="s">
        <v>254</v>
      </c>
      <c r="C122" t="s">
        <v>261</v>
      </c>
      <c r="D122" t="s">
        <v>2</v>
      </c>
      <c r="E122">
        <v>10</v>
      </c>
      <c r="F122">
        <v>1</v>
      </c>
      <c r="G122">
        <v>0</v>
      </c>
      <c r="H122" t="b">
        <v>0</v>
      </c>
      <c r="I122" s="109" t="s">
        <v>391</v>
      </c>
      <c r="J122" s="9"/>
      <c r="L122">
        <v>6000</v>
      </c>
      <c r="M122" t="b">
        <v>0</v>
      </c>
      <c r="N122">
        <v>6000</v>
      </c>
      <c r="O122">
        <v>1</v>
      </c>
    </row>
    <row r="123" spans="2:15" x14ac:dyDescent="0.35">
      <c r="B123" t="s">
        <v>254</v>
      </c>
      <c r="C123" t="s">
        <v>262</v>
      </c>
      <c r="D123" t="s">
        <v>3</v>
      </c>
      <c r="E123">
        <v>12</v>
      </c>
      <c r="F123">
        <v>1</v>
      </c>
      <c r="G123">
        <v>0</v>
      </c>
      <c r="H123" t="b">
        <v>0</v>
      </c>
      <c r="I123" s="109" t="s">
        <v>392</v>
      </c>
      <c r="J123" s="9"/>
      <c r="L123">
        <v>8000</v>
      </c>
      <c r="M123" t="b">
        <v>0</v>
      </c>
      <c r="N123">
        <v>8000</v>
      </c>
      <c r="O123">
        <v>1</v>
      </c>
    </row>
    <row r="124" spans="2:15" x14ac:dyDescent="0.35">
      <c r="B124" t="s">
        <v>248</v>
      </c>
      <c r="C124" t="s">
        <v>231</v>
      </c>
      <c r="E124">
        <v>9</v>
      </c>
      <c r="F124">
        <v>0</v>
      </c>
      <c r="G124">
        <v>0.05</v>
      </c>
      <c r="H124" t="b">
        <v>0</v>
      </c>
      <c r="I124" s="109"/>
      <c r="J124" s="9"/>
      <c r="L124">
        <v>100</v>
      </c>
      <c r="M124" t="b">
        <v>1</v>
      </c>
      <c r="N124">
        <v>100</v>
      </c>
      <c r="O124">
        <v>1</v>
      </c>
    </row>
    <row r="125" spans="2:15" x14ac:dyDescent="0.35">
      <c r="B125" t="s">
        <v>270</v>
      </c>
      <c r="C125" t="s">
        <v>503</v>
      </c>
      <c r="D125" t="s">
        <v>0</v>
      </c>
      <c r="E125">
        <v>8</v>
      </c>
      <c r="F125">
        <v>1</v>
      </c>
      <c r="G125">
        <v>0</v>
      </c>
      <c r="H125" t="b">
        <v>0</v>
      </c>
      <c r="I125" s="109"/>
      <c r="J125" s="9"/>
      <c r="L125">
        <v>2000</v>
      </c>
      <c r="M125" t="b">
        <v>0</v>
      </c>
      <c r="N125">
        <v>2000</v>
      </c>
      <c r="O125">
        <v>1</v>
      </c>
    </row>
    <row r="126" spans="2:15" x14ac:dyDescent="0.35">
      <c r="B126" t="s">
        <v>270</v>
      </c>
      <c r="C126" t="s">
        <v>504</v>
      </c>
      <c r="D126" t="s">
        <v>1</v>
      </c>
      <c r="E126">
        <v>10</v>
      </c>
      <c r="F126">
        <v>1</v>
      </c>
      <c r="G126">
        <v>0</v>
      </c>
      <c r="H126" t="b">
        <v>0</v>
      </c>
      <c r="I126" s="109"/>
      <c r="J126" s="9"/>
      <c r="L126">
        <v>10000</v>
      </c>
      <c r="M126" t="b">
        <v>0</v>
      </c>
      <c r="N126">
        <v>10000</v>
      </c>
      <c r="O126">
        <v>1</v>
      </c>
    </row>
    <row r="127" spans="2:15" x14ac:dyDescent="0.35">
      <c r="B127" t="s">
        <v>270</v>
      </c>
      <c r="C127" t="s">
        <v>505</v>
      </c>
      <c r="D127" t="s">
        <v>2</v>
      </c>
      <c r="E127">
        <v>13</v>
      </c>
      <c r="F127">
        <v>1</v>
      </c>
      <c r="G127">
        <v>0</v>
      </c>
      <c r="H127" t="b">
        <v>0</v>
      </c>
      <c r="I127" s="109"/>
      <c r="J127" s="9"/>
      <c r="L127">
        <v>50000</v>
      </c>
      <c r="M127" t="b">
        <v>0</v>
      </c>
      <c r="N127">
        <v>50000</v>
      </c>
      <c r="O127">
        <v>1</v>
      </c>
    </row>
    <row r="128" spans="2:15" x14ac:dyDescent="0.35">
      <c r="B128" t="s">
        <v>270</v>
      </c>
      <c r="C128" t="s">
        <v>506</v>
      </c>
      <c r="D128" t="s">
        <v>3</v>
      </c>
      <c r="E128">
        <v>17</v>
      </c>
      <c r="F128">
        <v>1</v>
      </c>
      <c r="G128">
        <v>0</v>
      </c>
      <c r="H128" t="b">
        <v>0</v>
      </c>
      <c r="I128" s="109"/>
      <c r="J128" s="9"/>
      <c r="L128">
        <v>200000</v>
      </c>
      <c r="M128" t="b">
        <v>0</v>
      </c>
      <c r="N128">
        <v>200000</v>
      </c>
      <c r="O128">
        <v>1</v>
      </c>
    </row>
    <row r="129" spans="2:15" x14ac:dyDescent="0.35">
      <c r="B129" t="s">
        <v>229</v>
      </c>
      <c r="C129" t="s">
        <v>271</v>
      </c>
      <c r="D129" t="s">
        <v>0</v>
      </c>
      <c r="E129">
        <v>6</v>
      </c>
      <c r="F129">
        <v>1</v>
      </c>
      <c r="G129">
        <v>0</v>
      </c>
      <c r="H129" t="b">
        <v>0</v>
      </c>
      <c r="I129" s="109"/>
      <c r="K129" t="s">
        <v>336</v>
      </c>
      <c r="L129">
        <v>10000</v>
      </c>
      <c r="M129" t="b">
        <v>0</v>
      </c>
      <c r="N129">
        <v>10000</v>
      </c>
      <c r="O129">
        <v>1</v>
      </c>
    </row>
    <row r="130" spans="2:15" x14ac:dyDescent="0.35">
      <c r="B130" t="s">
        <v>229</v>
      </c>
      <c r="C130" t="s">
        <v>272</v>
      </c>
      <c r="D130" t="s">
        <v>1</v>
      </c>
      <c r="E130">
        <v>8</v>
      </c>
      <c r="F130">
        <v>1</v>
      </c>
      <c r="G130">
        <v>0</v>
      </c>
      <c r="H130" t="b">
        <v>1</v>
      </c>
      <c r="I130" s="109"/>
      <c r="K130" t="s">
        <v>337</v>
      </c>
      <c r="L130">
        <v>25000</v>
      </c>
      <c r="M130" t="b">
        <v>0</v>
      </c>
      <c r="N130">
        <v>25000</v>
      </c>
      <c r="O130">
        <v>1</v>
      </c>
    </row>
    <row r="131" spans="2:15" x14ac:dyDescent="0.35">
      <c r="B131" t="s">
        <v>229</v>
      </c>
      <c r="C131" t="s">
        <v>273</v>
      </c>
      <c r="D131" t="s">
        <v>2</v>
      </c>
      <c r="E131">
        <v>10</v>
      </c>
      <c r="F131">
        <v>1</v>
      </c>
      <c r="G131">
        <v>0</v>
      </c>
      <c r="H131" t="b">
        <v>1</v>
      </c>
      <c r="I131" s="109"/>
      <c r="K131" t="s">
        <v>338</v>
      </c>
      <c r="L131">
        <v>50000</v>
      </c>
      <c r="M131" t="b">
        <v>0</v>
      </c>
      <c r="N131">
        <v>50000</v>
      </c>
      <c r="O131">
        <v>1</v>
      </c>
    </row>
    <row r="132" spans="2:15" x14ac:dyDescent="0.35">
      <c r="B132" t="s">
        <v>229</v>
      </c>
      <c r="C132" t="s">
        <v>274</v>
      </c>
      <c r="D132" t="s">
        <v>3</v>
      </c>
      <c r="E132">
        <v>12</v>
      </c>
      <c r="F132">
        <v>1</v>
      </c>
      <c r="G132">
        <v>0</v>
      </c>
      <c r="H132" t="b">
        <v>1</v>
      </c>
      <c r="I132" s="109"/>
      <c r="K132" t="s">
        <v>339</v>
      </c>
      <c r="L132">
        <v>100000</v>
      </c>
      <c r="M132" t="b">
        <v>0</v>
      </c>
      <c r="N132">
        <v>100000</v>
      </c>
      <c r="O132">
        <v>1</v>
      </c>
    </row>
    <row r="133" spans="2:15" x14ac:dyDescent="0.35">
      <c r="B133" t="s">
        <v>254</v>
      </c>
      <c r="C133" t="s">
        <v>560</v>
      </c>
      <c r="E133">
        <v>5</v>
      </c>
      <c r="F133">
        <v>1</v>
      </c>
      <c r="G133">
        <v>0</v>
      </c>
      <c r="H133" t="b">
        <v>0</v>
      </c>
      <c r="I133" s="109"/>
      <c r="J133" s="9"/>
      <c r="L133">
        <v>100</v>
      </c>
      <c r="M133" t="b">
        <v>0</v>
      </c>
      <c r="N133">
        <v>100</v>
      </c>
      <c r="O133">
        <v>1</v>
      </c>
    </row>
    <row r="134" spans="2:15" x14ac:dyDescent="0.35">
      <c r="B134" t="s">
        <v>270</v>
      </c>
      <c r="C134" t="s">
        <v>561</v>
      </c>
      <c r="E134">
        <v>5</v>
      </c>
      <c r="F134">
        <v>8</v>
      </c>
      <c r="G134">
        <v>0</v>
      </c>
      <c r="H134" t="b">
        <v>0</v>
      </c>
      <c r="I134" s="109" t="s">
        <v>563</v>
      </c>
      <c r="J134" s="9"/>
      <c r="L134">
        <v>3000</v>
      </c>
      <c r="M134" t="b">
        <v>0</v>
      </c>
      <c r="N134">
        <v>3000</v>
      </c>
      <c r="O134">
        <v>1</v>
      </c>
    </row>
    <row r="135" spans="2:15" x14ac:dyDescent="0.35">
      <c r="B135" t="s">
        <v>270</v>
      </c>
      <c r="C135" t="s">
        <v>562</v>
      </c>
      <c r="E135">
        <v>5</v>
      </c>
      <c r="F135">
        <v>12</v>
      </c>
      <c r="G135">
        <v>0</v>
      </c>
      <c r="H135" t="b">
        <v>0</v>
      </c>
      <c r="I135" s="109" t="s">
        <v>564</v>
      </c>
      <c r="J135" s="9"/>
      <c r="L135">
        <v>5000</v>
      </c>
      <c r="M135" t="b">
        <v>0</v>
      </c>
      <c r="N135">
        <v>5000</v>
      </c>
      <c r="O135">
        <v>1</v>
      </c>
    </row>
    <row r="136" spans="2:15" x14ac:dyDescent="0.35">
      <c r="B136" t="s">
        <v>270</v>
      </c>
      <c r="C136" t="s">
        <v>566</v>
      </c>
      <c r="E136">
        <v>5</v>
      </c>
      <c r="F136">
        <v>60</v>
      </c>
      <c r="G136">
        <v>0</v>
      </c>
      <c r="H136" t="b">
        <v>0</v>
      </c>
      <c r="I136" s="109" t="s">
        <v>565</v>
      </c>
      <c r="J136" s="9"/>
      <c r="L136">
        <v>20000</v>
      </c>
      <c r="M136" t="b">
        <v>0</v>
      </c>
      <c r="N136">
        <v>20000</v>
      </c>
      <c r="O136">
        <v>1</v>
      </c>
    </row>
    <row r="137" spans="2:15" x14ac:dyDescent="0.35">
      <c r="B137" t="s">
        <v>254</v>
      </c>
      <c r="C137" t="s">
        <v>263</v>
      </c>
      <c r="D137" t="s">
        <v>0</v>
      </c>
      <c r="E137">
        <v>8</v>
      </c>
      <c r="F137">
        <v>5</v>
      </c>
      <c r="G137">
        <v>0</v>
      </c>
      <c r="H137" t="b">
        <v>0</v>
      </c>
      <c r="I137" s="109" t="s">
        <v>389</v>
      </c>
      <c r="J137" s="9"/>
      <c r="L137">
        <v>2000</v>
      </c>
      <c r="M137" t="b">
        <v>0</v>
      </c>
      <c r="N137">
        <v>2000</v>
      </c>
      <c r="O137">
        <v>1</v>
      </c>
    </row>
    <row r="138" spans="2:15" x14ac:dyDescent="0.35">
      <c r="B138" t="s">
        <v>254</v>
      </c>
      <c r="C138" t="s">
        <v>264</v>
      </c>
      <c r="D138" t="s">
        <v>1</v>
      </c>
      <c r="E138">
        <v>10</v>
      </c>
      <c r="F138">
        <v>4</v>
      </c>
      <c r="G138">
        <v>0</v>
      </c>
      <c r="H138" t="b">
        <v>0</v>
      </c>
      <c r="I138" s="109" t="s">
        <v>390</v>
      </c>
      <c r="J138" s="9"/>
      <c r="L138">
        <v>4000</v>
      </c>
      <c r="M138" t="b">
        <v>0</v>
      </c>
      <c r="N138">
        <v>4000</v>
      </c>
      <c r="O138">
        <v>1</v>
      </c>
    </row>
    <row r="139" spans="2:15" x14ac:dyDescent="0.35">
      <c r="B139" t="s">
        <v>254</v>
      </c>
      <c r="C139" t="s">
        <v>265</v>
      </c>
      <c r="D139" t="s">
        <v>2</v>
      </c>
      <c r="E139">
        <v>12</v>
      </c>
      <c r="F139">
        <v>4</v>
      </c>
      <c r="G139">
        <v>0</v>
      </c>
      <c r="H139" t="b">
        <v>0</v>
      </c>
      <c r="I139" s="109" t="s">
        <v>391</v>
      </c>
      <c r="J139" s="9"/>
      <c r="L139">
        <v>8000</v>
      </c>
      <c r="M139" t="b">
        <v>0</v>
      </c>
      <c r="N139">
        <v>8000</v>
      </c>
      <c r="O139">
        <v>1</v>
      </c>
    </row>
    <row r="140" spans="2:15" x14ac:dyDescent="0.35">
      <c r="B140" t="s">
        <v>254</v>
      </c>
      <c r="C140" t="s">
        <v>266</v>
      </c>
      <c r="D140" t="s">
        <v>3</v>
      </c>
      <c r="E140">
        <v>14</v>
      </c>
      <c r="F140">
        <v>3</v>
      </c>
      <c r="G140">
        <v>0</v>
      </c>
      <c r="H140" t="b">
        <v>0</v>
      </c>
      <c r="I140" s="109" t="s">
        <v>392</v>
      </c>
      <c r="J140" s="9"/>
      <c r="L140">
        <v>10000</v>
      </c>
      <c r="M140" t="b">
        <v>0</v>
      </c>
      <c r="N140">
        <v>10000</v>
      </c>
      <c r="O140">
        <v>1</v>
      </c>
    </row>
    <row r="141" spans="2:15" x14ac:dyDescent="0.35">
      <c r="B141" t="s">
        <v>40</v>
      </c>
      <c r="C141" t="s">
        <v>742</v>
      </c>
      <c r="D141" t="s">
        <v>0</v>
      </c>
      <c r="E141">
        <v>6</v>
      </c>
      <c r="F141">
        <v>4</v>
      </c>
      <c r="G141">
        <v>0</v>
      </c>
      <c r="H141" t="b">
        <v>0</v>
      </c>
      <c r="I141" s="109"/>
      <c r="J141" s="9"/>
      <c r="L141">
        <v>1500</v>
      </c>
      <c r="M141" t="b">
        <v>0</v>
      </c>
      <c r="N141">
        <v>1500</v>
      </c>
      <c r="O141">
        <v>1</v>
      </c>
    </row>
    <row r="142" spans="2:15" x14ac:dyDescent="0.35">
      <c r="B142" t="s">
        <v>40</v>
      </c>
      <c r="C142" t="s">
        <v>743</v>
      </c>
      <c r="D142" t="s">
        <v>1</v>
      </c>
      <c r="E142">
        <v>8</v>
      </c>
      <c r="F142">
        <v>3</v>
      </c>
      <c r="G142">
        <v>0</v>
      </c>
      <c r="H142" t="b">
        <v>0</v>
      </c>
      <c r="I142" s="127" t="s">
        <v>747</v>
      </c>
      <c r="J142" s="9"/>
      <c r="L142">
        <v>2500</v>
      </c>
      <c r="M142" t="b">
        <v>0</v>
      </c>
      <c r="N142">
        <v>2500</v>
      </c>
      <c r="O142">
        <v>1</v>
      </c>
    </row>
    <row r="143" spans="2:15" x14ac:dyDescent="0.35">
      <c r="B143" t="s">
        <v>40</v>
      </c>
      <c r="C143" t="s">
        <v>745</v>
      </c>
      <c r="D143" t="s">
        <v>2</v>
      </c>
      <c r="E143">
        <v>11</v>
      </c>
      <c r="F143">
        <v>3</v>
      </c>
      <c r="G143">
        <v>0</v>
      </c>
      <c r="H143" t="b">
        <v>0</v>
      </c>
      <c r="I143" s="109" t="s">
        <v>746</v>
      </c>
      <c r="J143" s="9"/>
      <c r="L143">
        <v>4000</v>
      </c>
      <c r="M143" t="b">
        <v>0</v>
      </c>
      <c r="N143">
        <v>4000</v>
      </c>
      <c r="O143">
        <v>1</v>
      </c>
    </row>
    <row r="144" spans="2:15" x14ac:dyDescent="0.35">
      <c r="B144" t="s">
        <v>40</v>
      </c>
      <c r="C144" t="s">
        <v>744</v>
      </c>
      <c r="D144" t="s">
        <v>3</v>
      </c>
      <c r="E144">
        <v>12</v>
      </c>
      <c r="F144">
        <v>2</v>
      </c>
      <c r="G144">
        <v>0</v>
      </c>
      <c r="H144" t="b">
        <v>0</v>
      </c>
      <c r="I144" s="109"/>
      <c r="J144" s="9"/>
      <c r="L144">
        <v>5000</v>
      </c>
      <c r="M144" t="b">
        <v>0</v>
      </c>
      <c r="N144">
        <v>5000</v>
      </c>
      <c r="O144">
        <v>1</v>
      </c>
    </row>
    <row r="145" spans="2:15" x14ac:dyDescent="0.35">
      <c r="B145" t="s">
        <v>270</v>
      </c>
      <c r="C145" t="s">
        <v>649</v>
      </c>
      <c r="E145">
        <v>10</v>
      </c>
      <c r="F145">
        <v>1</v>
      </c>
      <c r="G145">
        <v>0</v>
      </c>
      <c r="H145" t="b">
        <v>1</v>
      </c>
      <c r="I145" s="109"/>
      <c r="J145" s="9"/>
      <c r="L145">
        <v>1000</v>
      </c>
      <c r="M145" t="b">
        <v>0</v>
      </c>
      <c r="N145">
        <v>1000</v>
      </c>
      <c r="O145">
        <v>1</v>
      </c>
    </row>
    <row r="146" spans="2:15" x14ac:dyDescent="0.35">
      <c r="B146" t="s">
        <v>422</v>
      </c>
      <c r="C146" t="s">
        <v>426</v>
      </c>
      <c r="E146">
        <v>5</v>
      </c>
      <c r="F146">
        <v>2</v>
      </c>
      <c r="G146">
        <v>0</v>
      </c>
      <c r="H146" t="b">
        <v>0</v>
      </c>
      <c r="I146" s="109" t="s">
        <v>439</v>
      </c>
      <c r="J146" s="9"/>
      <c r="L146">
        <v>500</v>
      </c>
      <c r="M146" t="b">
        <v>0</v>
      </c>
      <c r="N146">
        <v>500</v>
      </c>
      <c r="O146">
        <v>1</v>
      </c>
    </row>
    <row r="147" spans="2:15" x14ac:dyDescent="0.35">
      <c r="B147" t="s">
        <v>422</v>
      </c>
      <c r="C147" t="s">
        <v>425</v>
      </c>
      <c r="E147">
        <v>5</v>
      </c>
      <c r="F147">
        <v>8</v>
      </c>
      <c r="G147">
        <v>0</v>
      </c>
      <c r="H147" t="b">
        <v>0</v>
      </c>
      <c r="I147" s="109" t="s">
        <v>441</v>
      </c>
      <c r="J147" s="9"/>
      <c r="L147">
        <v>5000</v>
      </c>
      <c r="M147" t="b">
        <v>0</v>
      </c>
      <c r="N147">
        <v>5000</v>
      </c>
      <c r="O147">
        <v>1</v>
      </c>
    </row>
    <row r="148" spans="2:15" x14ac:dyDescent="0.35">
      <c r="B148" t="s">
        <v>422</v>
      </c>
      <c r="C148" t="s">
        <v>427</v>
      </c>
      <c r="E148">
        <v>5</v>
      </c>
      <c r="F148">
        <v>16</v>
      </c>
      <c r="G148">
        <v>0</v>
      </c>
      <c r="H148" t="b">
        <v>0</v>
      </c>
      <c r="I148" s="109" t="s">
        <v>442</v>
      </c>
      <c r="J148" s="9"/>
      <c r="L148">
        <v>20000</v>
      </c>
      <c r="M148" t="b">
        <v>0</v>
      </c>
      <c r="N148">
        <v>20000</v>
      </c>
      <c r="O148">
        <v>1</v>
      </c>
    </row>
    <row r="149" spans="2:15" x14ac:dyDescent="0.35">
      <c r="B149" t="s">
        <v>224</v>
      </c>
      <c r="C149" t="s">
        <v>102</v>
      </c>
      <c r="D149" t="s">
        <v>0</v>
      </c>
      <c r="E149">
        <v>11</v>
      </c>
      <c r="F149">
        <v>1</v>
      </c>
      <c r="G149">
        <v>0</v>
      </c>
      <c r="H149" t="b">
        <v>1</v>
      </c>
      <c r="I149" s="109" t="s">
        <v>379</v>
      </c>
      <c r="L149">
        <v>3000</v>
      </c>
      <c r="M149" t="b">
        <v>1</v>
      </c>
      <c r="N149">
        <v>3000</v>
      </c>
      <c r="O149">
        <v>1</v>
      </c>
    </row>
    <row r="150" spans="2:15" x14ac:dyDescent="0.35">
      <c r="B150" t="s">
        <v>254</v>
      </c>
      <c r="C150" t="s">
        <v>267</v>
      </c>
      <c r="D150" t="s">
        <v>0</v>
      </c>
      <c r="E150">
        <v>4</v>
      </c>
      <c r="F150">
        <v>6</v>
      </c>
      <c r="G150">
        <v>0</v>
      </c>
      <c r="H150" t="b">
        <v>0</v>
      </c>
      <c r="I150" s="109"/>
      <c r="J150" s="9"/>
      <c r="L150">
        <v>1000</v>
      </c>
      <c r="M150" t="b">
        <v>0</v>
      </c>
      <c r="N150">
        <v>1000</v>
      </c>
      <c r="O150">
        <v>1</v>
      </c>
    </row>
    <row r="151" spans="2:15" x14ac:dyDescent="0.35">
      <c r="B151" t="s">
        <v>254</v>
      </c>
      <c r="C151" t="s">
        <v>268</v>
      </c>
      <c r="D151" t="s">
        <v>1</v>
      </c>
      <c r="E151">
        <v>8</v>
      </c>
      <c r="F151">
        <v>4</v>
      </c>
      <c r="G151">
        <v>0</v>
      </c>
      <c r="H151" t="b">
        <v>0</v>
      </c>
      <c r="I151" s="109"/>
      <c r="J151" s="9"/>
      <c r="L151">
        <v>2000</v>
      </c>
      <c r="M151" t="b">
        <v>0</v>
      </c>
      <c r="N151">
        <v>2000</v>
      </c>
      <c r="O151">
        <v>1</v>
      </c>
    </row>
    <row r="152" spans="2:15" x14ac:dyDescent="0.35">
      <c r="B152" t="s">
        <v>254</v>
      </c>
      <c r="C152" t="s">
        <v>269</v>
      </c>
      <c r="D152" t="s">
        <v>3</v>
      </c>
      <c r="E152">
        <v>12</v>
      </c>
      <c r="F152">
        <v>2</v>
      </c>
      <c r="G152">
        <v>0</v>
      </c>
      <c r="H152" t="b">
        <v>0</v>
      </c>
      <c r="I152" s="109"/>
      <c r="J152" s="9"/>
      <c r="L152">
        <v>4000</v>
      </c>
      <c r="M152" t="b">
        <v>0</v>
      </c>
      <c r="N152">
        <v>4000</v>
      </c>
      <c r="O152">
        <v>1</v>
      </c>
    </row>
    <row r="153" spans="2:15" x14ac:dyDescent="0.35">
      <c r="B153" t="s">
        <v>239</v>
      </c>
      <c r="C153" t="s">
        <v>240</v>
      </c>
      <c r="E153">
        <v>8</v>
      </c>
      <c r="F153">
        <v>1</v>
      </c>
      <c r="G153">
        <v>0</v>
      </c>
      <c r="H153" t="b">
        <v>0</v>
      </c>
      <c r="I153" s="109" t="s">
        <v>567</v>
      </c>
      <c r="J153" s="9"/>
      <c r="L153">
        <v>200</v>
      </c>
      <c r="M153" t="b">
        <v>0</v>
      </c>
      <c r="N153">
        <v>200</v>
      </c>
      <c r="O153">
        <v>1</v>
      </c>
    </row>
    <row r="154" spans="2:15" x14ac:dyDescent="0.35">
      <c r="B154" t="s">
        <v>239</v>
      </c>
      <c r="C154" t="s">
        <v>241</v>
      </c>
      <c r="D154" t="s">
        <v>0</v>
      </c>
      <c r="E154">
        <v>10</v>
      </c>
      <c r="F154">
        <v>8</v>
      </c>
      <c r="G154">
        <v>0</v>
      </c>
      <c r="H154" t="b">
        <v>0</v>
      </c>
      <c r="I154" s="109"/>
      <c r="J154" s="9"/>
      <c r="L154">
        <v>20000</v>
      </c>
      <c r="M154" t="b">
        <v>0</v>
      </c>
      <c r="N154">
        <v>20000</v>
      </c>
      <c r="O154">
        <v>1</v>
      </c>
    </row>
    <row r="155" spans="2:15" x14ac:dyDescent="0.35">
      <c r="B155" t="s">
        <v>239</v>
      </c>
      <c r="C155" t="s">
        <v>242</v>
      </c>
      <c r="D155" t="s">
        <v>1</v>
      </c>
      <c r="E155">
        <v>12</v>
      </c>
      <c r="F155">
        <v>8</v>
      </c>
      <c r="G155">
        <v>0</v>
      </c>
      <c r="H155" t="b">
        <v>0</v>
      </c>
      <c r="I155" s="109" t="s">
        <v>574</v>
      </c>
      <c r="J155" s="9"/>
      <c r="L155">
        <v>20000</v>
      </c>
      <c r="M155" t="b">
        <v>0</v>
      </c>
      <c r="N155">
        <v>20000</v>
      </c>
      <c r="O155">
        <v>1</v>
      </c>
    </row>
    <row r="156" spans="2:15" x14ac:dyDescent="0.35">
      <c r="B156" t="s">
        <v>239</v>
      </c>
      <c r="C156" t="s">
        <v>571</v>
      </c>
      <c r="D156" t="s">
        <v>0</v>
      </c>
      <c r="E156">
        <v>10</v>
      </c>
      <c r="F156">
        <v>8</v>
      </c>
      <c r="G156">
        <v>0</v>
      </c>
      <c r="H156" t="b">
        <v>0</v>
      </c>
      <c r="I156" s="109"/>
      <c r="J156" s="9"/>
      <c r="L156">
        <v>20000</v>
      </c>
      <c r="M156" t="b">
        <v>0</v>
      </c>
      <c r="N156">
        <v>20000</v>
      </c>
      <c r="O156">
        <v>1</v>
      </c>
    </row>
    <row r="157" spans="2:15" x14ac:dyDescent="0.35">
      <c r="B157" t="s">
        <v>239</v>
      </c>
      <c r="C157" t="s">
        <v>572</v>
      </c>
      <c r="D157" t="s">
        <v>1</v>
      </c>
      <c r="E157">
        <v>12</v>
      </c>
      <c r="F157">
        <v>8</v>
      </c>
      <c r="G157">
        <v>0</v>
      </c>
      <c r="H157" t="b">
        <v>0</v>
      </c>
      <c r="I157" s="109" t="s">
        <v>573</v>
      </c>
      <c r="J157" s="9"/>
      <c r="L157">
        <v>20000</v>
      </c>
      <c r="M157" t="b">
        <v>0</v>
      </c>
      <c r="N157">
        <v>20000</v>
      </c>
      <c r="O157">
        <v>1</v>
      </c>
    </row>
    <row r="158" spans="2:15" x14ac:dyDescent="0.35">
      <c r="B158" t="s">
        <v>239</v>
      </c>
      <c r="C158" t="s">
        <v>718</v>
      </c>
      <c r="E158">
        <v>13</v>
      </c>
      <c r="F158">
        <v>4</v>
      </c>
      <c r="G158">
        <v>0</v>
      </c>
      <c r="H158" t="b">
        <v>0</v>
      </c>
      <c r="I158" s="109"/>
      <c r="J158" s="9"/>
      <c r="L158">
        <v>100000</v>
      </c>
      <c r="M158" t="b">
        <v>0</v>
      </c>
      <c r="N158">
        <v>100000</v>
      </c>
      <c r="O158">
        <v>1</v>
      </c>
    </row>
    <row r="159" spans="2:15" x14ac:dyDescent="0.35">
      <c r="B159" t="s">
        <v>239</v>
      </c>
      <c r="C159" t="s">
        <v>719</v>
      </c>
      <c r="E159">
        <v>13</v>
      </c>
      <c r="F159">
        <v>8</v>
      </c>
      <c r="G159">
        <v>0</v>
      </c>
      <c r="H159" t="b">
        <v>0</v>
      </c>
      <c r="I159" s="109"/>
      <c r="J159" s="9"/>
      <c r="L159">
        <v>200000</v>
      </c>
      <c r="M159" t="b">
        <v>0</v>
      </c>
      <c r="N159">
        <v>200000</v>
      </c>
      <c r="O159">
        <v>1</v>
      </c>
    </row>
    <row r="160" spans="2:15" x14ac:dyDescent="0.35">
      <c r="B160" t="s">
        <v>239</v>
      </c>
      <c r="C160" t="s">
        <v>243</v>
      </c>
      <c r="E160">
        <v>14</v>
      </c>
      <c r="F160">
        <v>8</v>
      </c>
      <c r="G160">
        <v>0</v>
      </c>
      <c r="H160" t="b">
        <v>0</v>
      </c>
      <c r="I160" s="109" t="s">
        <v>568</v>
      </c>
      <c r="J160" s="9"/>
      <c r="L160">
        <v>800000</v>
      </c>
      <c r="M160" t="b">
        <v>0</v>
      </c>
      <c r="N160">
        <v>800000</v>
      </c>
      <c r="O160">
        <v>1</v>
      </c>
    </row>
    <row r="161" spans="2:15" x14ac:dyDescent="0.35">
      <c r="B161" t="s">
        <v>239</v>
      </c>
      <c r="C161" t="s">
        <v>816</v>
      </c>
      <c r="E161">
        <v>10</v>
      </c>
      <c r="F161">
        <v>4</v>
      </c>
      <c r="G161">
        <v>0</v>
      </c>
      <c r="H161" t="b">
        <v>0</v>
      </c>
      <c r="I161" s="109" t="s">
        <v>817</v>
      </c>
      <c r="J161" s="9"/>
      <c r="L161">
        <v>10000</v>
      </c>
      <c r="M161" t="b">
        <v>0</v>
      </c>
      <c r="N161">
        <v>10000</v>
      </c>
      <c r="O161">
        <v>1</v>
      </c>
    </row>
    <row r="162" spans="2:15" x14ac:dyDescent="0.35">
      <c r="B162" t="s">
        <v>239</v>
      </c>
      <c r="C162" t="s">
        <v>200</v>
      </c>
      <c r="D162" t="s">
        <v>0</v>
      </c>
      <c r="E162">
        <v>8</v>
      </c>
      <c r="F162">
        <v>1</v>
      </c>
      <c r="G162">
        <v>0</v>
      </c>
      <c r="H162" t="b">
        <v>0</v>
      </c>
      <c r="I162" s="109" t="s">
        <v>389</v>
      </c>
      <c r="L162">
        <v>1000</v>
      </c>
      <c r="M162" t="b">
        <v>0</v>
      </c>
      <c r="N162">
        <v>1000</v>
      </c>
      <c r="O162">
        <v>1</v>
      </c>
    </row>
    <row r="163" spans="2:15" x14ac:dyDescent="0.35">
      <c r="B163" t="s">
        <v>239</v>
      </c>
      <c r="C163" t="s">
        <v>201</v>
      </c>
      <c r="D163" t="s">
        <v>1</v>
      </c>
      <c r="E163">
        <v>10</v>
      </c>
      <c r="F163">
        <v>1</v>
      </c>
      <c r="G163">
        <v>0</v>
      </c>
      <c r="H163" t="b">
        <v>0</v>
      </c>
      <c r="I163" s="109" t="s">
        <v>390</v>
      </c>
      <c r="L163">
        <v>1500</v>
      </c>
      <c r="M163" t="b">
        <v>0</v>
      </c>
      <c r="N163">
        <v>1500</v>
      </c>
      <c r="O163">
        <v>1</v>
      </c>
    </row>
    <row r="164" spans="2:15" x14ac:dyDescent="0.35">
      <c r="B164" t="s">
        <v>239</v>
      </c>
      <c r="C164" t="s">
        <v>202</v>
      </c>
      <c r="D164" t="s">
        <v>2</v>
      </c>
      <c r="E164">
        <v>12</v>
      </c>
      <c r="F164">
        <v>1</v>
      </c>
      <c r="G164">
        <v>0</v>
      </c>
      <c r="H164" t="b">
        <v>0</v>
      </c>
      <c r="I164" s="109" t="s">
        <v>391</v>
      </c>
      <c r="L164">
        <v>5000</v>
      </c>
      <c r="M164" t="b">
        <v>0</v>
      </c>
      <c r="N164">
        <v>5000</v>
      </c>
      <c r="O164">
        <v>1</v>
      </c>
    </row>
    <row r="165" spans="2:15" x14ac:dyDescent="0.35">
      <c r="B165" t="s">
        <v>239</v>
      </c>
      <c r="C165" t="s">
        <v>203</v>
      </c>
      <c r="D165" t="s">
        <v>3</v>
      </c>
      <c r="E165">
        <v>14</v>
      </c>
      <c r="F165">
        <v>1</v>
      </c>
      <c r="G165">
        <v>0</v>
      </c>
      <c r="H165" t="b">
        <v>0</v>
      </c>
      <c r="I165" s="109" t="s">
        <v>392</v>
      </c>
      <c r="L165">
        <v>10000</v>
      </c>
      <c r="M165" t="b">
        <v>0</v>
      </c>
      <c r="N165">
        <v>10000</v>
      </c>
      <c r="O165">
        <v>1</v>
      </c>
    </row>
    <row r="166" spans="2:15" x14ac:dyDescent="0.35">
      <c r="B166" t="s">
        <v>270</v>
      </c>
      <c r="C166" t="s">
        <v>431</v>
      </c>
      <c r="E166">
        <v>5</v>
      </c>
      <c r="F166">
        <v>5</v>
      </c>
      <c r="G166">
        <v>0</v>
      </c>
      <c r="H166" t="b">
        <v>0</v>
      </c>
      <c r="I166" s="109" t="s">
        <v>445</v>
      </c>
      <c r="J166" s="9"/>
      <c r="L166">
        <v>2000</v>
      </c>
      <c r="M166" t="b">
        <v>0</v>
      </c>
      <c r="N166">
        <v>2000</v>
      </c>
      <c r="O166">
        <v>1</v>
      </c>
    </row>
    <row r="167" spans="2:15" x14ac:dyDescent="0.35">
      <c r="B167" t="s">
        <v>270</v>
      </c>
      <c r="C167" t="s">
        <v>432</v>
      </c>
      <c r="E167">
        <v>5</v>
      </c>
      <c r="F167">
        <v>15</v>
      </c>
      <c r="G167">
        <v>0</v>
      </c>
      <c r="H167" t="b">
        <v>0</v>
      </c>
      <c r="I167" s="109" t="s">
        <v>601</v>
      </c>
      <c r="J167" s="9"/>
      <c r="L167">
        <v>5000</v>
      </c>
      <c r="M167" t="b">
        <v>0</v>
      </c>
      <c r="N167">
        <v>5000</v>
      </c>
      <c r="O167">
        <v>1</v>
      </c>
    </row>
    <row r="168" spans="2:15" x14ac:dyDescent="0.35">
      <c r="B168" t="s">
        <v>270</v>
      </c>
      <c r="C168" t="s">
        <v>433</v>
      </c>
      <c r="E168">
        <v>5</v>
      </c>
      <c r="F168">
        <v>45</v>
      </c>
      <c r="G168">
        <v>0</v>
      </c>
      <c r="H168" t="b">
        <v>0</v>
      </c>
      <c r="I168" s="109" t="s">
        <v>602</v>
      </c>
      <c r="J168" s="9"/>
      <c r="L168">
        <v>15000</v>
      </c>
      <c r="M168" t="b">
        <v>0</v>
      </c>
      <c r="N168">
        <v>15000</v>
      </c>
      <c r="O168">
        <v>1</v>
      </c>
    </row>
    <row r="169" spans="2:15" x14ac:dyDescent="0.35">
      <c r="B169" t="s">
        <v>270</v>
      </c>
      <c r="C169" t="s">
        <v>235</v>
      </c>
      <c r="D169" t="s">
        <v>0</v>
      </c>
      <c r="E169">
        <v>8</v>
      </c>
      <c r="F169">
        <v>2</v>
      </c>
      <c r="G169">
        <v>0</v>
      </c>
      <c r="H169" t="b">
        <v>0</v>
      </c>
      <c r="I169" s="109"/>
      <c r="J169" s="9"/>
      <c r="K169" t="s">
        <v>329</v>
      </c>
      <c r="L169">
        <v>2000</v>
      </c>
      <c r="M169" t="b">
        <v>0</v>
      </c>
      <c r="N169">
        <v>2000</v>
      </c>
      <c r="O169">
        <v>1</v>
      </c>
    </row>
    <row r="170" spans="2:15" x14ac:dyDescent="0.35">
      <c r="B170" t="s">
        <v>270</v>
      </c>
      <c r="C170" t="s">
        <v>236</v>
      </c>
      <c r="D170" t="s">
        <v>1</v>
      </c>
      <c r="E170">
        <v>10</v>
      </c>
      <c r="F170">
        <v>2</v>
      </c>
      <c r="G170">
        <v>0</v>
      </c>
      <c r="H170" t="b">
        <v>0</v>
      </c>
      <c r="I170" s="109"/>
      <c r="J170" s="9"/>
      <c r="K170" t="s">
        <v>330</v>
      </c>
      <c r="L170">
        <v>10000</v>
      </c>
      <c r="M170" t="b">
        <v>0</v>
      </c>
      <c r="N170">
        <v>10000</v>
      </c>
      <c r="O170">
        <v>1</v>
      </c>
    </row>
    <row r="171" spans="2:15" x14ac:dyDescent="0.35">
      <c r="B171" t="s">
        <v>270</v>
      </c>
      <c r="C171" t="s">
        <v>237</v>
      </c>
      <c r="D171" t="s">
        <v>2</v>
      </c>
      <c r="E171">
        <v>12</v>
      </c>
      <c r="F171">
        <v>1</v>
      </c>
      <c r="G171">
        <v>0</v>
      </c>
      <c r="H171" t="b">
        <v>0</v>
      </c>
      <c r="I171" s="109"/>
      <c r="J171" s="9"/>
      <c r="K171" t="s">
        <v>331</v>
      </c>
      <c r="L171">
        <v>25000</v>
      </c>
      <c r="M171" t="b">
        <v>0</v>
      </c>
      <c r="N171">
        <v>25000</v>
      </c>
      <c r="O171">
        <v>1</v>
      </c>
    </row>
    <row r="172" spans="2:15" x14ac:dyDescent="0.35">
      <c r="B172" t="s">
        <v>270</v>
      </c>
      <c r="C172" t="s">
        <v>238</v>
      </c>
      <c r="D172" t="s">
        <v>3</v>
      </c>
      <c r="E172">
        <v>14</v>
      </c>
      <c r="F172">
        <v>1</v>
      </c>
      <c r="G172">
        <v>0</v>
      </c>
      <c r="H172" t="b">
        <v>0</v>
      </c>
      <c r="I172" s="109"/>
      <c r="J172" s="9"/>
      <c r="K172" t="s">
        <v>332</v>
      </c>
      <c r="L172">
        <v>50000</v>
      </c>
      <c r="M172" t="b">
        <v>0</v>
      </c>
      <c r="N172">
        <v>50000</v>
      </c>
      <c r="O172">
        <v>1</v>
      </c>
    </row>
    <row r="173" spans="2:15" x14ac:dyDescent="0.35">
      <c r="B173" t="s">
        <v>9</v>
      </c>
      <c r="C173" t="s">
        <v>282</v>
      </c>
      <c r="E173">
        <v>15</v>
      </c>
      <c r="F173">
        <v>5</v>
      </c>
      <c r="G173">
        <v>0</v>
      </c>
      <c r="H173" t="b">
        <v>0</v>
      </c>
      <c r="I173" s="109" t="s">
        <v>397</v>
      </c>
      <c r="J173" s="9"/>
      <c r="L173">
        <v>35000</v>
      </c>
      <c r="M173" t="b">
        <v>0</v>
      </c>
      <c r="N173">
        <v>35000</v>
      </c>
      <c r="O173">
        <v>1</v>
      </c>
    </row>
    <row r="174" spans="2:15" x14ac:dyDescent="0.35">
      <c r="B174" t="s">
        <v>248</v>
      </c>
      <c r="C174" t="s">
        <v>249</v>
      </c>
      <c r="E174">
        <v>6</v>
      </c>
      <c r="F174">
        <v>0</v>
      </c>
      <c r="G174">
        <v>-0.1</v>
      </c>
      <c r="H174" t="b">
        <v>0</v>
      </c>
      <c r="I174" s="109"/>
      <c r="J174" s="9"/>
      <c r="L174">
        <v>0</v>
      </c>
      <c r="M174" t="b">
        <v>1</v>
      </c>
      <c r="N174">
        <v>0</v>
      </c>
      <c r="O174">
        <v>1</v>
      </c>
    </row>
    <row r="175" spans="2:15" x14ac:dyDescent="0.35">
      <c r="B175" t="s">
        <v>9</v>
      </c>
      <c r="C175" t="s">
        <v>283</v>
      </c>
      <c r="E175">
        <v>12</v>
      </c>
      <c r="F175">
        <v>5</v>
      </c>
      <c r="G175">
        <v>0</v>
      </c>
      <c r="H175" t="b">
        <v>0</v>
      </c>
      <c r="I175" s="109" t="s">
        <v>398</v>
      </c>
      <c r="J175" s="9"/>
      <c r="L175">
        <v>25000</v>
      </c>
      <c r="M175" t="b">
        <v>0</v>
      </c>
      <c r="N175">
        <v>25000</v>
      </c>
      <c r="O175">
        <v>1</v>
      </c>
    </row>
    <row r="176" spans="2:15" x14ac:dyDescent="0.35">
      <c r="B176" t="s">
        <v>248</v>
      </c>
      <c r="C176" t="s">
        <v>641</v>
      </c>
      <c r="E176">
        <v>8</v>
      </c>
      <c r="F176">
        <v>1</v>
      </c>
      <c r="G176">
        <v>0</v>
      </c>
      <c r="H176" t="b">
        <v>1</v>
      </c>
      <c r="I176" s="109" t="s">
        <v>642</v>
      </c>
      <c r="J176" s="9"/>
      <c r="L176">
        <v>200</v>
      </c>
      <c r="M176" t="b">
        <v>0</v>
      </c>
      <c r="N176">
        <v>200</v>
      </c>
      <c r="O176">
        <v>1</v>
      </c>
    </row>
    <row r="177" spans="2:15" x14ac:dyDescent="0.35">
      <c r="B177" t="s">
        <v>224</v>
      </c>
      <c r="C177" t="s">
        <v>103</v>
      </c>
      <c r="D177" t="s">
        <v>0</v>
      </c>
      <c r="E177">
        <v>7</v>
      </c>
      <c r="F177">
        <v>1</v>
      </c>
      <c r="G177">
        <v>0</v>
      </c>
      <c r="H177" t="b">
        <v>1</v>
      </c>
      <c r="I177" s="127" t="s">
        <v>380</v>
      </c>
      <c r="L177">
        <v>600</v>
      </c>
      <c r="M177" t="b">
        <v>1</v>
      </c>
      <c r="N177">
        <v>600</v>
      </c>
      <c r="O177">
        <v>1</v>
      </c>
    </row>
    <row r="178" spans="2:15" x14ac:dyDescent="0.35">
      <c r="B178" t="s">
        <v>9</v>
      </c>
      <c r="C178" t="s">
        <v>218</v>
      </c>
      <c r="D178" t="s">
        <v>0</v>
      </c>
      <c r="E178">
        <v>7</v>
      </c>
      <c r="F178">
        <v>2</v>
      </c>
      <c r="G178">
        <v>0</v>
      </c>
      <c r="H178" t="b">
        <v>0</v>
      </c>
      <c r="I178" s="109"/>
      <c r="K178" t="s">
        <v>333</v>
      </c>
      <c r="L178">
        <v>1000</v>
      </c>
      <c r="M178" t="b">
        <v>0</v>
      </c>
      <c r="N178">
        <v>1000</v>
      </c>
      <c r="O178">
        <v>1</v>
      </c>
    </row>
    <row r="179" spans="2:15" x14ac:dyDescent="0.35">
      <c r="B179" t="s">
        <v>9</v>
      </c>
      <c r="C179" t="s">
        <v>219</v>
      </c>
      <c r="D179" t="s">
        <v>1</v>
      </c>
      <c r="E179">
        <v>8</v>
      </c>
      <c r="F179">
        <v>1</v>
      </c>
      <c r="G179">
        <v>0</v>
      </c>
      <c r="H179" t="b">
        <v>1</v>
      </c>
      <c r="I179" s="109"/>
      <c r="K179" t="s">
        <v>333</v>
      </c>
      <c r="L179">
        <v>100</v>
      </c>
      <c r="M179" t="b">
        <v>0</v>
      </c>
      <c r="N179">
        <v>100</v>
      </c>
      <c r="O179">
        <v>1</v>
      </c>
    </row>
    <row r="180" spans="2:15" x14ac:dyDescent="0.35">
      <c r="B180" t="s">
        <v>9</v>
      </c>
      <c r="C180" t="s">
        <v>220</v>
      </c>
      <c r="D180" t="s">
        <v>2</v>
      </c>
      <c r="E180">
        <v>10</v>
      </c>
      <c r="F180">
        <v>1</v>
      </c>
      <c r="G180">
        <v>0</v>
      </c>
      <c r="H180" t="b">
        <v>1</v>
      </c>
      <c r="I180" s="109"/>
      <c r="K180" t="s">
        <v>334</v>
      </c>
      <c r="L180">
        <v>10000</v>
      </c>
      <c r="M180" t="b">
        <v>0</v>
      </c>
      <c r="N180">
        <v>10000</v>
      </c>
      <c r="O180">
        <v>1</v>
      </c>
    </row>
    <row r="181" spans="2:15" x14ac:dyDescent="0.35">
      <c r="B181" t="s">
        <v>9</v>
      </c>
      <c r="C181" t="s">
        <v>221</v>
      </c>
      <c r="D181" t="s">
        <v>3</v>
      </c>
      <c r="E181">
        <v>12</v>
      </c>
      <c r="F181">
        <v>1</v>
      </c>
      <c r="G181">
        <v>0</v>
      </c>
      <c r="H181" t="b">
        <v>1</v>
      </c>
      <c r="I181" s="109"/>
      <c r="K181" t="s">
        <v>335</v>
      </c>
      <c r="L181">
        <v>20000</v>
      </c>
      <c r="M181" t="b">
        <v>0</v>
      </c>
      <c r="N181">
        <v>20000</v>
      </c>
      <c r="O181">
        <v>1</v>
      </c>
    </row>
    <row r="182" spans="2:15" x14ac:dyDescent="0.35">
      <c r="B182" t="s">
        <v>40</v>
      </c>
      <c r="C182" t="s">
        <v>449</v>
      </c>
      <c r="D182" t="s">
        <v>0</v>
      </c>
      <c r="E182">
        <v>7</v>
      </c>
      <c r="F182">
        <v>2</v>
      </c>
      <c r="G182">
        <v>0</v>
      </c>
      <c r="H182" t="b">
        <v>0</v>
      </c>
      <c r="I182" s="109" t="s">
        <v>381</v>
      </c>
      <c r="J182" s="9"/>
      <c r="L182">
        <v>2000</v>
      </c>
      <c r="M182" t="b">
        <v>0</v>
      </c>
      <c r="N182">
        <v>2000</v>
      </c>
      <c r="O182">
        <v>1</v>
      </c>
    </row>
    <row r="183" spans="2:15" x14ac:dyDescent="0.35">
      <c r="B183" t="s">
        <v>40</v>
      </c>
      <c r="C183" t="s">
        <v>450</v>
      </c>
      <c r="D183" t="s">
        <v>1</v>
      </c>
      <c r="E183">
        <v>9</v>
      </c>
      <c r="F183">
        <v>1</v>
      </c>
      <c r="G183">
        <v>0</v>
      </c>
      <c r="H183" t="b">
        <v>0</v>
      </c>
      <c r="I183" s="109" t="s">
        <v>382</v>
      </c>
      <c r="J183" s="9"/>
      <c r="L183">
        <v>10000</v>
      </c>
      <c r="M183" t="b">
        <v>0</v>
      </c>
      <c r="N183">
        <v>10000</v>
      </c>
      <c r="O183">
        <v>1</v>
      </c>
    </row>
    <row r="184" spans="2:15" x14ac:dyDescent="0.35">
      <c r="B184" t="s">
        <v>40</v>
      </c>
      <c r="C184" t="s">
        <v>451</v>
      </c>
      <c r="D184" t="s">
        <v>2</v>
      </c>
      <c r="E184">
        <v>10</v>
      </c>
      <c r="F184">
        <v>1</v>
      </c>
      <c r="G184">
        <v>0</v>
      </c>
      <c r="H184" t="b">
        <v>0</v>
      </c>
      <c r="I184" s="109" t="s">
        <v>383</v>
      </c>
      <c r="J184" s="9"/>
      <c r="L184">
        <v>20000</v>
      </c>
      <c r="M184" t="b">
        <v>0</v>
      </c>
      <c r="N184">
        <v>20000</v>
      </c>
      <c r="O184">
        <v>1</v>
      </c>
    </row>
    <row r="185" spans="2:15" x14ac:dyDescent="0.35">
      <c r="B185" t="s">
        <v>40</v>
      </c>
      <c r="C185" t="s">
        <v>452</v>
      </c>
      <c r="D185" t="s">
        <v>3</v>
      </c>
      <c r="E185">
        <v>11</v>
      </c>
      <c r="F185">
        <v>1</v>
      </c>
      <c r="G185">
        <v>0</v>
      </c>
      <c r="H185" t="b">
        <v>0</v>
      </c>
      <c r="I185" s="109" t="s">
        <v>384</v>
      </c>
      <c r="J185" s="9"/>
      <c r="L185">
        <v>50000</v>
      </c>
      <c r="M185" t="b">
        <v>0</v>
      </c>
      <c r="N185">
        <v>50000</v>
      </c>
      <c r="O185">
        <v>1</v>
      </c>
    </row>
    <row r="186" spans="2:15" x14ac:dyDescent="0.35">
      <c r="B186" t="s">
        <v>248</v>
      </c>
      <c r="C186" t="s">
        <v>516</v>
      </c>
      <c r="D186" t="s">
        <v>0</v>
      </c>
      <c r="E186">
        <v>7</v>
      </c>
      <c r="F186">
        <v>0</v>
      </c>
      <c r="G186">
        <v>0.2</v>
      </c>
      <c r="H186" t="b">
        <v>0</v>
      </c>
      <c r="I186" s="109" t="s">
        <v>415</v>
      </c>
      <c r="J186" s="9"/>
      <c r="L186">
        <v>20000</v>
      </c>
      <c r="M186" t="b">
        <v>1</v>
      </c>
      <c r="N186">
        <v>20000</v>
      </c>
      <c r="O186">
        <v>1</v>
      </c>
    </row>
    <row r="187" spans="2:15" x14ac:dyDescent="0.35">
      <c r="B187" t="s">
        <v>248</v>
      </c>
      <c r="C187" t="s">
        <v>517</v>
      </c>
      <c r="D187" t="s">
        <v>1</v>
      </c>
      <c r="E187">
        <v>9</v>
      </c>
      <c r="F187">
        <v>0</v>
      </c>
      <c r="G187">
        <v>0.15</v>
      </c>
      <c r="H187" t="b">
        <v>0</v>
      </c>
      <c r="I187" s="109" t="s">
        <v>416</v>
      </c>
      <c r="J187" s="9"/>
      <c r="L187">
        <v>50000</v>
      </c>
      <c r="M187" t="b">
        <v>1</v>
      </c>
      <c r="N187">
        <v>50000</v>
      </c>
      <c r="O187">
        <v>1</v>
      </c>
    </row>
    <row r="188" spans="2:15" x14ac:dyDescent="0.35">
      <c r="B188" t="s">
        <v>248</v>
      </c>
      <c r="C188" t="s">
        <v>518</v>
      </c>
      <c r="D188" t="s">
        <v>3</v>
      </c>
      <c r="E188">
        <v>11</v>
      </c>
      <c r="F188">
        <v>0</v>
      </c>
      <c r="G188">
        <v>0.1</v>
      </c>
      <c r="H188" t="b">
        <v>0</v>
      </c>
      <c r="I188" s="109" t="s">
        <v>417</v>
      </c>
      <c r="J188" s="9"/>
      <c r="L188">
        <v>100000</v>
      </c>
      <c r="M188" t="b">
        <v>1</v>
      </c>
      <c r="N188">
        <v>100000</v>
      </c>
      <c r="O188">
        <v>1</v>
      </c>
    </row>
    <row r="189" spans="2:15" x14ac:dyDescent="0.35">
      <c r="B189" t="s">
        <v>248</v>
      </c>
      <c r="C189" t="s">
        <v>519</v>
      </c>
      <c r="D189" t="s">
        <v>0</v>
      </c>
      <c r="E189">
        <v>8</v>
      </c>
      <c r="F189">
        <v>0</v>
      </c>
      <c r="G189">
        <v>0.15</v>
      </c>
      <c r="H189" t="b">
        <v>0</v>
      </c>
      <c r="I189" s="109" t="s">
        <v>522</v>
      </c>
      <c r="J189" s="9"/>
      <c r="L189">
        <v>50000</v>
      </c>
      <c r="M189" t="b">
        <v>1</v>
      </c>
      <c r="N189">
        <v>50000</v>
      </c>
      <c r="O189">
        <v>1</v>
      </c>
    </row>
    <row r="190" spans="2:15" x14ac:dyDescent="0.35">
      <c r="B190" t="s">
        <v>248</v>
      </c>
      <c r="C190" t="s">
        <v>520</v>
      </c>
      <c r="D190" t="s">
        <v>1</v>
      </c>
      <c r="E190">
        <v>10</v>
      </c>
      <c r="F190">
        <v>0</v>
      </c>
      <c r="G190">
        <v>0.1</v>
      </c>
      <c r="H190" t="b">
        <v>0</v>
      </c>
      <c r="I190" s="109" t="s">
        <v>523</v>
      </c>
      <c r="J190" s="9"/>
      <c r="L190">
        <v>100000</v>
      </c>
      <c r="M190" t="b">
        <v>1</v>
      </c>
      <c r="N190">
        <v>100000</v>
      </c>
      <c r="O190">
        <v>1</v>
      </c>
    </row>
    <row r="191" spans="2:15" x14ac:dyDescent="0.35">
      <c r="B191" t="s">
        <v>248</v>
      </c>
      <c r="C191" t="s">
        <v>521</v>
      </c>
      <c r="D191" t="s">
        <v>3</v>
      </c>
      <c r="E191">
        <v>12</v>
      </c>
      <c r="F191">
        <v>0</v>
      </c>
      <c r="G191">
        <v>0.05</v>
      </c>
      <c r="H191" t="b">
        <v>0</v>
      </c>
      <c r="I191" s="109" t="s">
        <v>524</v>
      </c>
      <c r="J191" s="9"/>
      <c r="L191">
        <v>200000</v>
      </c>
      <c r="M191" t="b">
        <v>1</v>
      </c>
      <c r="N191">
        <v>200000</v>
      </c>
      <c r="O191">
        <v>1</v>
      </c>
    </row>
    <row r="192" spans="2:15" x14ac:dyDescent="0.35">
      <c r="B192" t="s">
        <v>40</v>
      </c>
      <c r="C192" t="s">
        <v>233</v>
      </c>
      <c r="E192">
        <v>6</v>
      </c>
      <c r="F192">
        <v>2</v>
      </c>
      <c r="G192">
        <v>0</v>
      </c>
      <c r="H192" t="b">
        <v>0</v>
      </c>
      <c r="I192" s="109"/>
      <c r="J192" s="9"/>
      <c r="L192">
        <v>1000</v>
      </c>
      <c r="M192" t="b">
        <v>0</v>
      </c>
      <c r="N192">
        <v>1000</v>
      </c>
      <c r="O192">
        <v>1</v>
      </c>
    </row>
    <row r="193" spans="2:15" x14ac:dyDescent="0.35">
      <c r="B193" t="s">
        <v>254</v>
      </c>
      <c r="C193" t="s">
        <v>255</v>
      </c>
      <c r="D193" t="s">
        <v>0</v>
      </c>
      <c r="E193">
        <v>5</v>
      </c>
      <c r="F193">
        <v>4</v>
      </c>
      <c r="G193">
        <v>0</v>
      </c>
      <c r="H193" t="b">
        <v>0</v>
      </c>
      <c r="I193" s="109" t="s">
        <v>389</v>
      </c>
      <c r="J193" s="9"/>
      <c r="L193">
        <v>2000</v>
      </c>
      <c r="M193" t="b">
        <v>0</v>
      </c>
      <c r="N193">
        <v>2000</v>
      </c>
      <c r="O193">
        <v>1</v>
      </c>
    </row>
    <row r="194" spans="2:15" x14ac:dyDescent="0.35">
      <c r="B194" t="s">
        <v>254</v>
      </c>
      <c r="C194" t="s">
        <v>256</v>
      </c>
      <c r="D194" t="s">
        <v>1</v>
      </c>
      <c r="E194">
        <v>8</v>
      </c>
      <c r="F194">
        <v>3</v>
      </c>
      <c r="G194">
        <v>0</v>
      </c>
      <c r="H194" t="b">
        <v>0</v>
      </c>
      <c r="I194" s="109" t="s">
        <v>390</v>
      </c>
      <c r="J194" s="9"/>
      <c r="L194">
        <v>4000</v>
      </c>
      <c r="M194" t="b">
        <v>0</v>
      </c>
      <c r="N194">
        <v>4000</v>
      </c>
      <c r="O194">
        <v>1</v>
      </c>
    </row>
    <row r="195" spans="2:15" x14ac:dyDescent="0.35">
      <c r="B195" t="s">
        <v>254</v>
      </c>
      <c r="C195" t="s">
        <v>257</v>
      </c>
      <c r="D195" t="s">
        <v>2</v>
      </c>
      <c r="E195">
        <v>11</v>
      </c>
      <c r="F195">
        <v>3</v>
      </c>
      <c r="G195">
        <v>0</v>
      </c>
      <c r="H195" t="b">
        <v>0</v>
      </c>
      <c r="I195" s="109" t="s">
        <v>391</v>
      </c>
      <c r="J195" s="9"/>
      <c r="L195">
        <v>6000</v>
      </c>
      <c r="M195" t="b">
        <v>0</v>
      </c>
      <c r="N195">
        <v>6000</v>
      </c>
      <c r="O195">
        <v>1</v>
      </c>
    </row>
    <row r="196" spans="2:15" x14ac:dyDescent="0.35">
      <c r="B196" t="s">
        <v>254</v>
      </c>
      <c r="C196" t="s">
        <v>258</v>
      </c>
      <c r="D196" t="s">
        <v>3</v>
      </c>
      <c r="E196">
        <v>14</v>
      </c>
      <c r="F196">
        <v>3</v>
      </c>
      <c r="G196">
        <v>0</v>
      </c>
      <c r="H196" t="b">
        <v>0</v>
      </c>
      <c r="I196" s="109" t="s">
        <v>392</v>
      </c>
      <c r="J196" s="9"/>
      <c r="L196">
        <v>8000</v>
      </c>
      <c r="M196" t="b">
        <v>0</v>
      </c>
      <c r="N196">
        <v>8000</v>
      </c>
      <c r="O196">
        <v>1</v>
      </c>
    </row>
    <row r="197" spans="2:15" x14ac:dyDescent="0.35">
      <c r="B197" t="s">
        <v>270</v>
      </c>
      <c r="C197" t="s">
        <v>737</v>
      </c>
      <c r="E197">
        <v>8</v>
      </c>
      <c r="G197">
        <v>0.05</v>
      </c>
      <c r="H197" t="b">
        <v>1</v>
      </c>
      <c r="I197" s="109"/>
      <c r="J197" s="9"/>
      <c r="L197">
        <v>500</v>
      </c>
      <c r="M197" t="b">
        <v>1</v>
      </c>
      <c r="N197">
        <v>500</v>
      </c>
      <c r="O197">
        <v>1</v>
      </c>
    </row>
    <row r="198" spans="2:15" x14ac:dyDescent="0.35">
      <c r="B198" t="s">
        <v>270</v>
      </c>
      <c r="C198" t="s">
        <v>738</v>
      </c>
      <c r="E198">
        <v>6</v>
      </c>
      <c r="G198">
        <v>0.1</v>
      </c>
      <c r="H198" t="b">
        <v>1</v>
      </c>
      <c r="I198" s="109"/>
      <c r="J198" s="9"/>
      <c r="L198">
        <v>1000</v>
      </c>
      <c r="M198" t="b">
        <v>1</v>
      </c>
      <c r="N198">
        <v>1000</v>
      </c>
      <c r="O198">
        <v>1</v>
      </c>
    </row>
    <row r="199" spans="2:15" x14ac:dyDescent="0.35">
      <c r="B199" t="s">
        <v>270</v>
      </c>
      <c r="C199" t="s">
        <v>739</v>
      </c>
      <c r="E199">
        <v>12</v>
      </c>
      <c r="G199">
        <v>0.1</v>
      </c>
      <c r="H199" t="b">
        <v>0</v>
      </c>
      <c r="I199" s="109"/>
      <c r="J199" s="9"/>
      <c r="L199">
        <v>5000</v>
      </c>
      <c r="M199" t="b">
        <v>1</v>
      </c>
      <c r="N199">
        <v>5000</v>
      </c>
      <c r="O199">
        <v>1</v>
      </c>
    </row>
    <row r="200" spans="2:15" x14ac:dyDescent="0.35">
      <c r="B200" t="s">
        <v>270</v>
      </c>
      <c r="C200" t="s">
        <v>740</v>
      </c>
      <c r="E200">
        <v>12</v>
      </c>
      <c r="F200">
        <v>4</v>
      </c>
      <c r="G200">
        <v>0</v>
      </c>
      <c r="H200" t="b">
        <v>0</v>
      </c>
      <c r="I200" s="109"/>
      <c r="J200" s="9"/>
      <c r="L200">
        <v>500000</v>
      </c>
      <c r="M200" t="b">
        <v>0</v>
      </c>
      <c r="N200">
        <v>500000</v>
      </c>
      <c r="O200">
        <v>1</v>
      </c>
    </row>
    <row r="201" spans="2:15" x14ac:dyDescent="0.35">
      <c r="B201" t="s">
        <v>270</v>
      </c>
      <c r="C201" t="s">
        <v>760</v>
      </c>
      <c r="D201" t="s">
        <v>2</v>
      </c>
      <c r="E201">
        <v>13</v>
      </c>
      <c r="F201">
        <v>0</v>
      </c>
      <c r="G201">
        <v>0.1</v>
      </c>
      <c r="H201" t="b">
        <v>0</v>
      </c>
      <c r="I201" s="109" t="s">
        <v>715</v>
      </c>
      <c r="J201" s="9"/>
      <c r="L201">
        <v>200000</v>
      </c>
      <c r="M201" t="b">
        <v>1</v>
      </c>
      <c r="N201">
        <v>200000</v>
      </c>
      <c r="O201">
        <v>1</v>
      </c>
    </row>
    <row r="202" spans="2:15" x14ac:dyDescent="0.35">
      <c r="B202" t="s">
        <v>270</v>
      </c>
      <c r="C202" t="s">
        <v>761</v>
      </c>
      <c r="D202" t="s">
        <v>3</v>
      </c>
      <c r="E202">
        <v>15</v>
      </c>
      <c r="F202">
        <v>0</v>
      </c>
      <c r="G202">
        <v>0.1</v>
      </c>
      <c r="H202" t="b">
        <v>0</v>
      </c>
      <c r="I202" s="109" t="s">
        <v>716</v>
      </c>
      <c r="J202" s="9"/>
      <c r="L202">
        <v>500000</v>
      </c>
      <c r="M202" t="b">
        <v>1</v>
      </c>
      <c r="N202">
        <v>500000</v>
      </c>
      <c r="O202">
        <v>1</v>
      </c>
    </row>
    <row r="203" spans="2:15" x14ac:dyDescent="0.35">
      <c r="B203" t="s">
        <v>224</v>
      </c>
      <c r="C203" t="s">
        <v>223</v>
      </c>
      <c r="E203">
        <v>11</v>
      </c>
      <c r="F203">
        <v>0</v>
      </c>
      <c r="G203">
        <v>0.05</v>
      </c>
      <c r="H203" t="b">
        <v>0</v>
      </c>
      <c r="I203" s="109" t="s">
        <v>414</v>
      </c>
      <c r="J203" s="9"/>
      <c r="L203">
        <v>1000</v>
      </c>
      <c r="M203" t="b">
        <v>1</v>
      </c>
      <c r="N203">
        <v>1000</v>
      </c>
      <c r="O203">
        <v>1</v>
      </c>
    </row>
    <row r="204" spans="2:15" x14ac:dyDescent="0.35">
      <c r="B204" t="s">
        <v>248</v>
      </c>
      <c r="C204" t="s">
        <v>250</v>
      </c>
      <c r="D204" t="s">
        <v>0</v>
      </c>
      <c r="E204">
        <v>6</v>
      </c>
      <c r="F204">
        <v>0</v>
      </c>
      <c r="G204">
        <v>0.2</v>
      </c>
      <c r="H204" t="b">
        <v>0</v>
      </c>
      <c r="I204" s="109" t="s">
        <v>395</v>
      </c>
      <c r="J204" s="9"/>
      <c r="L204">
        <v>2000</v>
      </c>
      <c r="M204" t="b">
        <v>1</v>
      </c>
      <c r="N204">
        <v>2000</v>
      </c>
      <c r="O204">
        <v>1</v>
      </c>
    </row>
    <row r="205" spans="2:15" x14ac:dyDescent="0.35">
      <c r="B205" t="s">
        <v>248</v>
      </c>
      <c r="C205" t="s">
        <v>251</v>
      </c>
      <c r="D205" t="s">
        <v>1</v>
      </c>
      <c r="E205">
        <v>8</v>
      </c>
      <c r="F205">
        <v>0</v>
      </c>
      <c r="G205">
        <v>0.15</v>
      </c>
      <c r="H205" t="b">
        <v>0</v>
      </c>
      <c r="I205" s="109" t="s">
        <v>418</v>
      </c>
      <c r="J205" s="9"/>
      <c r="L205">
        <v>5000</v>
      </c>
      <c r="M205" t="b">
        <v>1</v>
      </c>
      <c r="N205">
        <v>5000</v>
      </c>
      <c r="O205">
        <v>1</v>
      </c>
    </row>
    <row r="206" spans="2:15" x14ac:dyDescent="0.35">
      <c r="B206" t="s">
        <v>248</v>
      </c>
      <c r="C206" t="s">
        <v>252</v>
      </c>
      <c r="D206" t="s">
        <v>2</v>
      </c>
      <c r="E206">
        <v>10</v>
      </c>
      <c r="F206">
        <v>0</v>
      </c>
      <c r="G206">
        <v>0.1</v>
      </c>
      <c r="H206" t="b">
        <v>0</v>
      </c>
      <c r="I206" s="109" t="s">
        <v>394</v>
      </c>
      <c r="J206" s="9"/>
      <c r="L206">
        <v>10000</v>
      </c>
      <c r="M206" t="b">
        <v>1</v>
      </c>
      <c r="N206">
        <v>10000</v>
      </c>
      <c r="O206">
        <v>1</v>
      </c>
    </row>
    <row r="207" spans="2:15" x14ac:dyDescent="0.35">
      <c r="B207" t="s">
        <v>248</v>
      </c>
      <c r="C207" t="s">
        <v>253</v>
      </c>
      <c r="D207" t="s">
        <v>3</v>
      </c>
      <c r="E207">
        <v>12</v>
      </c>
      <c r="F207">
        <v>0</v>
      </c>
      <c r="G207">
        <v>0.05</v>
      </c>
      <c r="H207" t="b">
        <v>0</v>
      </c>
      <c r="I207" s="109" t="s">
        <v>393</v>
      </c>
      <c r="J207" s="9"/>
      <c r="L207">
        <v>20000</v>
      </c>
      <c r="M207" t="b">
        <v>1</v>
      </c>
      <c r="N207">
        <v>20000</v>
      </c>
      <c r="O207">
        <v>1</v>
      </c>
    </row>
    <row r="208" spans="2:15" x14ac:dyDescent="0.35">
      <c r="B208" t="s">
        <v>254</v>
      </c>
      <c r="C208" t="s">
        <v>204</v>
      </c>
      <c r="D208" t="s">
        <v>0</v>
      </c>
      <c r="E208">
        <v>8</v>
      </c>
      <c r="F208">
        <v>6</v>
      </c>
      <c r="G208">
        <v>0</v>
      </c>
      <c r="H208" t="b">
        <v>0</v>
      </c>
      <c r="I208" s="109" t="s">
        <v>389</v>
      </c>
      <c r="L208">
        <v>1000</v>
      </c>
      <c r="M208" t="b">
        <v>0</v>
      </c>
      <c r="N208">
        <v>1000</v>
      </c>
      <c r="O208">
        <v>1</v>
      </c>
    </row>
    <row r="209" spans="2:15" x14ac:dyDescent="0.35">
      <c r="B209" t="s">
        <v>254</v>
      </c>
      <c r="C209" t="s">
        <v>205</v>
      </c>
      <c r="D209" t="s">
        <v>1</v>
      </c>
      <c r="E209">
        <v>10</v>
      </c>
      <c r="F209">
        <v>5</v>
      </c>
      <c r="G209">
        <v>0</v>
      </c>
      <c r="H209" t="b">
        <v>0</v>
      </c>
      <c r="I209" s="109" t="s">
        <v>390</v>
      </c>
      <c r="L209">
        <v>2000</v>
      </c>
      <c r="M209" t="b">
        <v>0</v>
      </c>
      <c r="N209">
        <v>2000</v>
      </c>
      <c r="O209">
        <v>1</v>
      </c>
    </row>
    <row r="210" spans="2:15" x14ac:dyDescent="0.35">
      <c r="B210" t="s">
        <v>254</v>
      </c>
      <c r="C210" t="s">
        <v>206</v>
      </c>
      <c r="D210" t="s">
        <v>2</v>
      </c>
      <c r="E210">
        <v>12</v>
      </c>
      <c r="F210">
        <v>5</v>
      </c>
      <c r="G210">
        <v>0</v>
      </c>
      <c r="H210" t="b">
        <v>0</v>
      </c>
      <c r="I210" s="109" t="s">
        <v>391</v>
      </c>
      <c r="L210">
        <v>4000</v>
      </c>
      <c r="M210" t="b">
        <v>0</v>
      </c>
      <c r="N210">
        <v>4000</v>
      </c>
      <c r="O210">
        <v>1</v>
      </c>
    </row>
    <row r="211" spans="2:15" x14ac:dyDescent="0.35">
      <c r="B211" t="s">
        <v>254</v>
      </c>
      <c r="C211" t="s">
        <v>207</v>
      </c>
      <c r="D211" t="s">
        <v>3</v>
      </c>
      <c r="E211">
        <v>14</v>
      </c>
      <c r="F211">
        <v>4</v>
      </c>
      <c r="G211">
        <v>0</v>
      </c>
      <c r="H211" t="b">
        <v>0</v>
      </c>
      <c r="I211" s="109" t="s">
        <v>392</v>
      </c>
      <c r="L211">
        <v>10000</v>
      </c>
      <c r="M211" t="b">
        <v>0</v>
      </c>
      <c r="N211">
        <v>10000</v>
      </c>
      <c r="O211">
        <v>1</v>
      </c>
    </row>
    <row r="212" spans="2:15" x14ac:dyDescent="0.35">
      <c r="B212" t="s">
        <v>270</v>
      </c>
      <c r="C212" t="s">
        <v>275</v>
      </c>
      <c r="D212" t="s">
        <v>0</v>
      </c>
      <c r="E212">
        <v>7</v>
      </c>
      <c r="F212">
        <v>1</v>
      </c>
      <c r="G212">
        <v>0</v>
      </c>
      <c r="H212" t="b">
        <v>0</v>
      </c>
      <c r="I212" s="109" t="s">
        <v>550</v>
      </c>
      <c r="J212" s="109" t="s">
        <v>550</v>
      </c>
      <c r="L212">
        <v>300</v>
      </c>
      <c r="M212" t="b">
        <v>1</v>
      </c>
      <c r="N212">
        <v>300</v>
      </c>
      <c r="O212">
        <v>1</v>
      </c>
    </row>
    <row r="213" spans="2:15" x14ac:dyDescent="0.35">
      <c r="B213" t="s">
        <v>270</v>
      </c>
      <c r="C213" t="s">
        <v>276</v>
      </c>
      <c r="D213" t="s">
        <v>1</v>
      </c>
      <c r="E213">
        <v>9</v>
      </c>
      <c r="F213">
        <v>2</v>
      </c>
      <c r="G213">
        <v>0</v>
      </c>
      <c r="H213" t="b">
        <v>0</v>
      </c>
      <c r="I213" s="109" t="s">
        <v>551</v>
      </c>
      <c r="J213" s="109" t="s">
        <v>551</v>
      </c>
      <c r="L213">
        <v>600</v>
      </c>
      <c r="M213" t="b">
        <v>1</v>
      </c>
      <c r="N213">
        <v>600</v>
      </c>
      <c r="O213">
        <v>1</v>
      </c>
    </row>
    <row r="214" spans="2:15" x14ac:dyDescent="0.35">
      <c r="B214" t="s">
        <v>270</v>
      </c>
      <c r="C214" t="s">
        <v>277</v>
      </c>
      <c r="D214" t="s">
        <v>2</v>
      </c>
      <c r="E214">
        <v>11</v>
      </c>
      <c r="F214">
        <v>3</v>
      </c>
      <c r="G214">
        <v>0</v>
      </c>
      <c r="H214" t="b">
        <v>0</v>
      </c>
      <c r="I214" s="109" t="s">
        <v>552</v>
      </c>
      <c r="J214" s="109" t="s">
        <v>552</v>
      </c>
      <c r="L214">
        <v>900</v>
      </c>
      <c r="M214" t="b">
        <v>1</v>
      </c>
      <c r="N214">
        <v>900</v>
      </c>
      <c r="O214">
        <v>1</v>
      </c>
    </row>
    <row r="215" spans="2:15" x14ac:dyDescent="0.35">
      <c r="B215" t="s">
        <v>270</v>
      </c>
      <c r="C215" t="s">
        <v>278</v>
      </c>
      <c r="D215" t="s">
        <v>3</v>
      </c>
      <c r="E215">
        <v>13</v>
      </c>
      <c r="F215">
        <v>3</v>
      </c>
      <c r="G215">
        <v>0</v>
      </c>
      <c r="H215" t="b">
        <v>0</v>
      </c>
      <c r="I215" s="109" t="s">
        <v>553</v>
      </c>
      <c r="J215" s="109" t="s">
        <v>553</v>
      </c>
      <c r="L215">
        <v>1200</v>
      </c>
      <c r="M215" t="b">
        <v>1</v>
      </c>
      <c r="N215">
        <v>1200</v>
      </c>
      <c r="O215">
        <v>1</v>
      </c>
    </row>
    <row r="216" spans="2:15" x14ac:dyDescent="0.35">
      <c r="B216" t="s">
        <v>270</v>
      </c>
      <c r="C216" t="s">
        <v>471</v>
      </c>
      <c r="D216" t="s">
        <v>0</v>
      </c>
      <c r="E216">
        <v>6</v>
      </c>
      <c r="F216">
        <v>1</v>
      </c>
      <c r="G216">
        <v>0</v>
      </c>
      <c r="H216" t="b">
        <v>0</v>
      </c>
      <c r="I216" s="109" t="s">
        <v>400</v>
      </c>
      <c r="L216">
        <v>50</v>
      </c>
      <c r="M216" t="b">
        <v>0</v>
      </c>
      <c r="N216">
        <v>50</v>
      </c>
      <c r="O216">
        <v>1</v>
      </c>
    </row>
    <row r="217" spans="2:15" x14ac:dyDescent="0.35">
      <c r="B217" t="s">
        <v>270</v>
      </c>
      <c r="C217" t="s">
        <v>190</v>
      </c>
      <c r="D217" t="s">
        <v>1</v>
      </c>
      <c r="E217">
        <v>6</v>
      </c>
      <c r="F217">
        <v>1</v>
      </c>
      <c r="G217">
        <v>0</v>
      </c>
      <c r="H217" t="b">
        <v>0</v>
      </c>
      <c r="I217" s="109" t="s">
        <v>400</v>
      </c>
      <c r="L217">
        <v>100</v>
      </c>
      <c r="M217" t="b">
        <v>0</v>
      </c>
      <c r="N217">
        <v>100</v>
      </c>
      <c r="O217">
        <v>1</v>
      </c>
    </row>
    <row r="218" spans="2:15" x14ac:dyDescent="0.35">
      <c r="B218" t="s">
        <v>270</v>
      </c>
      <c r="C218" t="s">
        <v>437</v>
      </c>
      <c r="D218" t="s">
        <v>3</v>
      </c>
      <c r="E218">
        <v>6</v>
      </c>
      <c r="F218">
        <v>1</v>
      </c>
      <c r="G218">
        <v>0</v>
      </c>
      <c r="H218" t="b">
        <v>0</v>
      </c>
      <c r="I218" s="109" t="s">
        <v>400</v>
      </c>
      <c r="L218">
        <v>500</v>
      </c>
      <c r="M218" t="b">
        <v>0</v>
      </c>
      <c r="N218">
        <v>500</v>
      </c>
      <c r="O218">
        <v>1</v>
      </c>
    </row>
    <row r="219" spans="2:15" x14ac:dyDescent="0.35">
      <c r="B219" t="s">
        <v>254</v>
      </c>
      <c r="C219" t="s">
        <v>735</v>
      </c>
      <c r="E219">
        <v>6</v>
      </c>
      <c r="F219">
        <v>3</v>
      </c>
      <c r="G219">
        <v>0</v>
      </c>
      <c r="H219" t="b">
        <v>0</v>
      </c>
      <c r="I219" s="109" t="s">
        <v>736</v>
      </c>
      <c r="J219" s="9"/>
      <c r="L219">
        <v>2000</v>
      </c>
      <c r="M219" t="b">
        <v>0</v>
      </c>
      <c r="N219">
        <v>2000</v>
      </c>
    </row>
    <row r="220" spans="2:15" x14ac:dyDescent="0.35">
      <c r="B220" t="s">
        <v>224</v>
      </c>
      <c r="C220" t="s">
        <v>702</v>
      </c>
      <c r="D220" t="s">
        <v>0</v>
      </c>
      <c r="E220">
        <v>4</v>
      </c>
      <c r="F220">
        <v>0</v>
      </c>
      <c r="G220">
        <v>0.05</v>
      </c>
      <c r="H220" t="b">
        <v>0</v>
      </c>
      <c r="I220" s="109" t="s">
        <v>643</v>
      </c>
      <c r="J220" s="9"/>
      <c r="L220">
        <v>200</v>
      </c>
      <c r="M220" t="b">
        <v>1</v>
      </c>
      <c r="N220">
        <v>200</v>
      </c>
      <c r="O220">
        <v>1</v>
      </c>
    </row>
    <row r="221" spans="2:15" x14ac:dyDescent="0.35">
      <c r="B221" t="s">
        <v>224</v>
      </c>
      <c r="C221" t="s">
        <v>703</v>
      </c>
      <c r="D221" t="s">
        <v>1</v>
      </c>
      <c r="E221">
        <v>6</v>
      </c>
      <c r="F221">
        <v>0</v>
      </c>
      <c r="G221">
        <v>0.02</v>
      </c>
      <c r="H221" t="b">
        <v>0</v>
      </c>
      <c r="I221" s="109" t="s">
        <v>644</v>
      </c>
      <c r="J221" s="9"/>
      <c r="L221">
        <v>400</v>
      </c>
      <c r="M221" t="b">
        <v>1</v>
      </c>
      <c r="N221">
        <v>400</v>
      </c>
      <c r="O221">
        <v>1</v>
      </c>
    </row>
    <row r="222" spans="2:15" x14ac:dyDescent="0.35">
      <c r="B222" t="s">
        <v>224</v>
      </c>
      <c r="C222" t="s">
        <v>704</v>
      </c>
      <c r="D222" t="s">
        <v>2</v>
      </c>
      <c r="E222">
        <v>9</v>
      </c>
      <c r="F222">
        <v>0</v>
      </c>
      <c r="G222">
        <v>0.02</v>
      </c>
      <c r="H222" t="b">
        <v>0</v>
      </c>
      <c r="I222" s="109" t="s">
        <v>645</v>
      </c>
      <c r="J222" s="9"/>
      <c r="L222">
        <v>800</v>
      </c>
      <c r="M222" t="b">
        <v>1</v>
      </c>
      <c r="N222">
        <v>800</v>
      </c>
      <c r="O222">
        <v>1</v>
      </c>
    </row>
    <row r="223" spans="2:15" x14ac:dyDescent="0.35">
      <c r="B223" t="s">
        <v>224</v>
      </c>
      <c r="C223" t="s">
        <v>705</v>
      </c>
      <c r="D223" t="s">
        <v>3</v>
      </c>
      <c r="E223">
        <v>12</v>
      </c>
      <c r="F223">
        <v>0</v>
      </c>
      <c r="G223">
        <v>0.02</v>
      </c>
      <c r="H223" t="b">
        <v>0</v>
      </c>
      <c r="I223" s="109" t="s">
        <v>646</v>
      </c>
      <c r="J223" s="9"/>
      <c r="L223">
        <v>1000</v>
      </c>
      <c r="M223" t="b">
        <v>1</v>
      </c>
      <c r="N223">
        <v>1000</v>
      </c>
      <c r="O223">
        <v>1</v>
      </c>
    </row>
    <row r="224" spans="2:15" x14ac:dyDescent="0.35">
      <c r="B224" t="s">
        <v>224</v>
      </c>
      <c r="C224" t="s">
        <v>706</v>
      </c>
      <c r="D224" t="s">
        <v>96</v>
      </c>
      <c r="E224">
        <v>15</v>
      </c>
      <c r="F224">
        <v>0</v>
      </c>
      <c r="G224">
        <v>0.02</v>
      </c>
      <c r="H224" t="b">
        <v>0</v>
      </c>
      <c r="I224" s="109" t="s">
        <v>647</v>
      </c>
      <c r="J224" s="9"/>
      <c r="L224">
        <v>2000</v>
      </c>
      <c r="M224" t="b">
        <v>1</v>
      </c>
      <c r="N224">
        <v>2000</v>
      </c>
      <c r="O224">
        <v>1</v>
      </c>
    </row>
    <row r="225" spans="2:15" x14ac:dyDescent="0.35">
      <c r="B225" t="s">
        <v>40</v>
      </c>
      <c r="C225" t="s">
        <v>244</v>
      </c>
      <c r="D225" t="s">
        <v>0</v>
      </c>
      <c r="E225">
        <v>8</v>
      </c>
      <c r="F225">
        <v>3</v>
      </c>
      <c r="G225">
        <v>0</v>
      </c>
      <c r="H225" t="b">
        <v>0</v>
      </c>
      <c r="I225" s="109" t="s">
        <v>385</v>
      </c>
      <c r="J225" s="9"/>
      <c r="L225">
        <v>10000</v>
      </c>
      <c r="M225" t="b">
        <v>0</v>
      </c>
      <c r="N225">
        <v>10000</v>
      </c>
      <c r="O225">
        <v>1</v>
      </c>
    </row>
    <row r="226" spans="2:15" x14ac:dyDescent="0.35">
      <c r="B226" t="s">
        <v>40</v>
      </c>
      <c r="C226" t="s">
        <v>245</v>
      </c>
      <c r="D226" t="s">
        <v>1</v>
      </c>
      <c r="E226">
        <v>10</v>
      </c>
      <c r="F226">
        <v>2</v>
      </c>
      <c r="G226">
        <v>0</v>
      </c>
      <c r="H226" t="b">
        <v>0</v>
      </c>
      <c r="I226" s="109" t="s">
        <v>386</v>
      </c>
      <c r="J226" s="9"/>
      <c r="L226">
        <v>20000</v>
      </c>
      <c r="M226" t="b">
        <v>0</v>
      </c>
      <c r="N226">
        <v>20000</v>
      </c>
      <c r="O226">
        <v>1</v>
      </c>
    </row>
    <row r="227" spans="2:15" x14ac:dyDescent="0.35">
      <c r="B227" t="s">
        <v>40</v>
      </c>
      <c r="C227" t="s">
        <v>246</v>
      </c>
      <c r="D227" t="s">
        <v>2</v>
      </c>
      <c r="E227">
        <v>12</v>
      </c>
      <c r="F227">
        <v>1</v>
      </c>
      <c r="G227">
        <v>0</v>
      </c>
      <c r="H227" t="b">
        <v>0</v>
      </c>
      <c r="I227" s="109" t="s">
        <v>387</v>
      </c>
      <c r="J227" s="9"/>
      <c r="L227">
        <v>50000</v>
      </c>
      <c r="M227" t="b">
        <v>0</v>
      </c>
      <c r="N227">
        <v>50000</v>
      </c>
      <c r="O227">
        <v>1</v>
      </c>
    </row>
    <row r="228" spans="2:15" x14ac:dyDescent="0.35">
      <c r="B228" t="s">
        <v>40</v>
      </c>
      <c r="C228" t="s">
        <v>247</v>
      </c>
      <c r="D228" t="s">
        <v>3</v>
      </c>
      <c r="E228">
        <v>14</v>
      </c>
      <c r="F228">
        <v>1</v>
      </c>
      <c r="G228">
        <v>0</v>
      </c>
      <c r="H228" t="b">
        <v>0</v>
      </c>
      <c r="I228" s="109" t="s">
        <v>388</v>
      </c>
      <c r="J228" s="9"/>
      <c r="L228">
        <v>100000</v>
      </c>
      <c r="M228" t="b">
        <v>0</v>
      </c>
      <c r="N228">
        <v>100000</v>
      </c>
      <c r="O228">
        <v>1</v>
      </c>
    </row>
    <row r="229" spans="2:15" x14ac:dyDescent="0.35">
      <c r="B229" t="s">
        <v>40</v>
      </c>
      <c r="C229" t="s">
        <v>234</v>
      </c>
      <c r="E229">
        <v>8</v>
      </c>
      <c r="F229">
        <v>1</v>
      </c>
      <c r="G229">
        <v>0</v>
      </c>
      <c r="H229" t="b">
        <v>0</v>
      </c>
      <c r="I229" s="109"/>
      <c r="J229" s="9"/>
      <c r="L229">
        <v>2000</v>
      </c>
      <c r="M229" t="b">
        <v>0</v>
      </c>
      <c r="N229">
        <v>2000</v>
      </c>
      <c r="O229">
        <v>1</v>
      </c>
    </row>
    <row r="230" spans="2:15" x14ac:dyDescent="0.35">
      <c r="B230" t="s">
        <v>40</v>
      </c>
      <c r="C230" t="s">
        <v>481</v>
      </c>
      <c r="D230" t="s">
        <v>0</v>
      </c>
      <c r="E230">
        <v>7</v>
      </c>
      <c r="F230">
        <v>1</v>
      </c>
      <c r="G230">
        <v>0</v>
      </c>
      <c r="H230" t="b">
        <v>0</v>
      </c>
      <c r="I230" s="109"/>
      <c r="J230" s="9"/>
      <c r="L230">
        <v>1000</v>
      </c>
      <c r="M230" t="b">
        <v>0</v>
      </c>
      <c r="N230">
        <v>1000</v>
      </c>
      <c r="O230">
        <v>1</v>
      </c>
    </row>
    <row r="231" spans="2:15" x14ac:dyDescent="0.35">
      <c r="B231" t="s">
        <v>40</v>
      </c>
      <c r="C231" t="s">
        <v>486</v>
      </c>
      <c r="D231" t="s">
        <v>0</v>
      </c>
      <c r="E231">
        <v>7</v>
      </c>
      <c r="F231">
        <v>1</v>
      </c>
      <c r="G231">
        <v>0</v>
      </c>
      <c r="H231" t="b">
        <v>0</v>
      </c>
      <c r="I231" s="109"/>
      <c r="J231" s="9"/>
      <c r="L231">
        <v>2000</v>
      </c>
      <c r="M231" t="b">
        <v>0</v>
      </c>
      <c r="N231">
        <v>2000</v>
      </c>
      <c r="O231">
        <v>1</v>
      </c>
    </row>
    <row r="232" spans="2:15" x14ac:dyDescent="0.35">
      <c r="B232" t="s">
        <v>40</v>
      </c>
      <c r="C232" t="s">
        <v>491</v>
      </c>
      <c r="D232" t="s">
        <v>0</v>
      </c>
      <c r="E232">
        <v>7</v>
      </c>
      <c r="F232">
        <v>2</v>
      </c>
      <c r="G232">
        <v>0</v>
      </c>
      <c r="H232" t="b">
        <v>0</v>
      </c>
      <c r="I232" s="109"/>
      <c r="J232" s="9"/>
      <c r="L232">
        <v>10000</v>
      </c>
      <c r="M232" t="b">
        <v>0</v>
      </c>
      <c r="N232">
        <v>10000</v>
      </c>
      <c r="O232">
        <v>1</v>
      </c>
    </row>
    <row r="233" spans="2:15" x14ac:dyDescent="0.35">
      <c r="B233" t="s">
        <v>40</v>
      </c>
      <c r="C233" t="s">
        <v>483</v>
      </c>
      <c r="D233" t="s">
        <v>0</v>
      </c>
      <c r="E233">
        <v>8</v>
      </c>
      <c r="F233">
        <v>4</v>
      </c>
      <c r="G233">
        <v>0</v>
      </c>
      <c r="H233" t="b">
        <v>0</v>
      </c>
      <c r="I233" s="109"/>
      <c r="J233" s="9"/>
      <c r="L233">
        <v>20000</v>
      </c>
      <c r="M233" t="b">
        <v>0</v>
      </c>
      <c r="N233">
        <v>20000</v>
      </c>
      <c r="O233">
        <v>1</v>
      </c>
    </row>
    <row r="234" spans="2:15" x14ac:dyDescent="0.35">
      <c r="B234" t="s">
        <v>40</v>
      </c>
      <c r="C234" t="s">
        <v>485</v>
      </c>
      <c r="D234" t="s">
        <v>1</v>
      </c>
      <c r="E234">
        <v>10</v>
      </c>
      <c r="F234">
        <v>2</v>
      </c>
      <c r="G234">
        <v>0</v>
      </c>
      <c r="H234" t="b">
        <v>0</v>
      </c>
      <c r="I234" s="109"/>
      <c r="J234" s="9"/>
      <c r="L234">
        <v>10000</v>
      </c>
      <c r="M234" t="b">
        <v>0</v>
      </c>
      <c r="N234">
        <v>10000</v>
      </c>
      <c r="O234">
        <v>1</v>
      </c>
    </row>
    <row r="235" spans="2:15" x14ac:dyDescent="0.35">
      <c r="B235" t="s">
        <v>40</v>
      </c>
      <c r="C235" t="s">
        <v>484</v>
      </c>
      <c r="D235" t="s">
        <v>2</v>
      </c>
      <c r="E235">
        <v>12</v>
      </c>
      <c r="F235">
        <v>1</v>
      </c>
      <c r="G235">
        <v>0</v>
      </c>
      <c r="H235" t="b">
        <v>0</v>
      </c>
      <c r="I235" s="109"/>
      <c r="J235" s="9"/>
      <c r="L235">
        <v>5000</v>
      </c>
      <c r="M235" t="b">
        <v>0</v>
      </c>
      <c r="N235">
        <v>5000</v>
      </c>
      <c r="O235">
        <v>1</v>
      </c>
    </row>
    <row r="236" spans="2:15" x14ac:dyDescent="0.35">
      <c r="B236" t="s">
        <v>40</v>
      </c>
      <c r="C236" t="s">
        <v>482</v>
      </c>
      <c r="D236" t="s">
        <v>3</v>
      </c>
      <c r="E236">
        <v>15</v>
      </c>
      <c r="F236">
        <v>1</v>
      </c>
      <c r="G236">
        <v>0</v>
      </c>
      <c r="H236" t="b">
        <v>0</v>
      </c>
      <c r="I236" s="109"/>
      <c r="J236" s="9"/>
      <c r="L236">
        <v>2500</v>
      </c>
      <c r="M236" t="b">
        <v>0</v>
      </c>
      <c r="N236">
        <v>2500</v>
      </c>
      <c r="O236">
        <v>1</v>
      </c>
    </row>
    <row r="237" spans="2:15" x14ac:dyDescent="0.35">
      <c r="B237" t="s">
        <v>40</v>
      </c>
      <c r="C237" t="s">
        <v>488</v>
      </c>
      <c r="D237" t="s">
        <v>0</v>
      </c>
      <c r="E237">
        <v>9</v>
      </c>
      <c r="F237">
        <v>8</v>
      </c>
      <c r="G237">
        <v>0</v>
      </c>
      <c r="H237" t="b">
        <v>0</v>
      </c>
      <c r="I237" s="109"/>
      <c r="J237" s="9"/>
      <c r="L237">
        <v>50000</v>
      </c>
      <c r="M237" t="b">
        <v>0</v>
      </c>
      <c r="N237">
        <v>50000</v>
      </c>
      <c r="O237">
        <v>1</v>
      </c>
    </row>
    <row r="238" spans="2:15" x14ac:dyDescent="0.35">
      <c r="B238" t="s">
        <v>40</v>
      </c>
      <c r="C238" t="s">
        <v>490</v>
      </c>
      <c r="D238" t="s">
        <v>1</v>
      </c>
      <c r="E238">
        <v>11</v>
      </c>
      <c r="F238">
        <v>4</v>
      </c>
      <c r="G238">
        <v>0</v>
      </c>
      <c r="H238" t="b">
        <v>0</v>
      </c>
      <c r="I238" s="109"/>
      <c r="J238" s="9"/>
      <c r="L238">
        <v>25000</v>
      </c>
      <c r="M238" t="b">
        <v>0</v>
      </c>
      <c r="N238">
        <v>25000</v>
      </c>
      <c r="O238">
        <v>1</v>
      </c>
    </row>
    <row r="239" spans="2:15" x14ac:dyDescent="0.35">
      <c r="B239" t="s">
        <v>40</v>
      </c>
      <c r="C239" t="s">
        <v>489</v>
      </c>
      <c r="D239" t="s">
        <v>2</v>
      </c>
      <c r="E239">
        <v>13</v>
      </c>
      <c r="F239">
        <v>2</v>
      </c>
      <c r="G239">
        <v>0</v>
      </c>
      <c r="H239" t="b">
        <v>0</v>
      </c>
      <c r="I239" s="109"/>
      <c r="J239" s="9"/>
      <c r="L239">
        <v>10000</v>
      </c>
      <c r="M239" t="b">
        <v>0</v>
      </c>
      <c r="N239">
        <v>10000</v>
      </c>
      <c r="O239">
        <v>1</v>
      </c>
    </row>
    <row r="240" spans="2:15" x14ac:dyDescent="0.35">
      <c r="B240" t="s">
        <v>40</v>
      </c>
      <c r="C240" t="s">
        <v>487</v>
      </c>
      <c r="D240" t="s">
        <v>3</v>
      </c>
      <c r="E240">
        <v>16</v>
      </c>
      <c r="F240">
        <v>1</v>
      </c>
      <c r="G240">
        <v>0</v>
      </c>
      <c r="H240" t="b">
        <v>0</v>
      </c>
      <c r="I240" s="109"/>
      <c r="J240" s="9"/>
      <c r="L240">
        <v>5000</v>
      </c>
      <c r="M240" t="b">
        <v>0</v>
      </c>
      <c r="N240">
        <v>5000</v>
      </c>
      <c r="O240">
        <v>1</v>
      </c>
    </row>
    <row r="241" spans="2:15" x14ac:dyDescent="0.35">
      <c r="B241" t="s">
        <v>270</v>
      </c>
      <c r="C241" t="s">
        <v>648</v>
      </c>
      <c r="E241">
        <v>7</v>
      </c>
      <c r="F241">
        <v>1</v>
      </c>
      <c r="G241">
        <v>0</v>
      </c>
      <c r="H241" t="b">
        <v>1</v>
      </c>
      <c r="I241" s="109"/>
      <c r="J241" s="9"/>
      <c r="L241">
        <v>500</v>
      </c>
      <c r="M241" t="b">
        <v>0</v>
      </c>
      <c r="N241">
        <v>500</v>
      </c>
      <c r="O241">
        <v>1</v>
      </c>
    </row>
    <row r="242" spans="2:15" x14ac:dyDescent="0.35">
      <c r="B242" t="s">
        <v>229</v>
      </c>
      <c r="C242" t="s">
        <v>455</v>
      </c>
      <c r="E242">
        <v>5</v>
      </c>
      <c r="F242">
        <v>1</v>
      </c>
      <c r="G242">
        <v>0</v>
      </c>
      <c r="H242" t="b">
        <v>0</v>
      </c>
      <c r="I242" s="109" t="s">
        <v>419</v>
      </c>
      <c r="K242" t="s">
        <v>360</v>
      </c>
      <c r="L242">
        <v>500</v>
      </c>
      <c r="M242" t="b">
        <v>0</v>
      </c>
      <c r="N242">
        <v>500</v>
      </c>
      <c r="O242">
        <v>1</v>
      </c>
    </row>
    <row r="243" spans="2:15" x14ac:dyDescent="0.35">
      <c r="B243" t="s">
        <v>229</v>
      </c>
      <c r="C243" t="s">
        <v>456</v>
      </c>
      <c r="E243">
        <v>5</v>
      </c>
      <c r="F243">
        <v>2</v>
      </c>
      <c r="G243">
        <v>0</v>
      </c>
      <c r="H243" t="b">
        <v>0</v>
      </c>
      <c r="I243" s="109" t="s">
        <v>420</v>
      </c>
      <c r="K243" t="s">
        <v>360</v>
      </c>
      <c r="L243">
        <v>1000</v>
      </c>
      <c r="M243" t="b">
        <v>0</v>
      </c>
      <c r="N243">
        <v>1000</v>
      </c>
      <c r="O243">
        <v>1</v>
      </c>
    </row>
    <row r="244" spans="2:15" x14ac:dyDescent="0.35">
      <c r="B244" t="s">
        <v>229</v>
      </c>
      <c r="C244" t="s">
        <v>457</v>
      </c>
      <c r="E244">
        <v>5</v>
      </c>
      <c r="F244">
        <v>10</v>
      </c>
      <c r="G244">
        <v>0</v>
      </c>
      <c r="H244" t="b">
        <v>0</v>
      </c>
      <c r="I244" s="109" t="s">
        <v>421</v>
      </c>
      <c r="K244" t="s">
        <v>532</v>
      </c>
      <c r="L244">
        <v>5000</v>
      </c>
      <c r="M244" t="b">
        <v>0</v>
      </c>
      <c r="N244">
        <v>5000</v>
      </c>
      <c r="O244">
        <v>1</v>
      </c>
    </row>
    <row r="245" spans="2:15" x14ac:dyDescent="0.35">
      <c r="B245" t="s">
        <v>229</v>
      </c>
      <c r="C245" t="s">
        <v>458</v>
      </c>
      <c r="E245">
        <v>5</v>
      </c>
      <c r="F245">
        <v>15</v>
      </c>
      <c r="G245">
        <v>0</v>
      </c>
      <c r="H245" t="b">
        <v>0</v>
      </c>
      <c r="I245" s="109" t="s">
        <v>399</v>
      </c>
      <c r="K245" t="s">
        <v>531</v>
      </c>
      <c r="L245">
        <v>10000</v>
      </c>
      <c r="M245" t="b">
        <v>0</v>
      </c>
      <c r="N245">
        <v>10000</v>
      </c>
      <c r="O245">
        <v>1</v>
      </c>
    </row>
    <row r="246" spans="2:15" x14ac:dyDescent="0.35">
      <c r="B246" t="s">
        <v>229</v>
      </c>
      <c r="C246" t="s">
        <v>459</v>
      </c>
      <c r="E246">
        <v>5</v>
      </c>
      <c r="F246">
        <v>1</v>
      </c>
      <c r="G246">
        <v>0</v>
      </c>
      <c r="H246" t="b">
        <v>0</v>
      </c>
      <c r="I246" s="109"/>
      <c r="M246" t="b">
        <v>0</v>
      </c>
      <c r="O246">
        <v>1</v>
      </c>
    </row>
    <row r="247" spans="2:15" x14ac:dyDescent="0.35">
      <c r="B247" t="s">
        <v>229</v>
      </c>
      <c r="C247" t="s">
        <v>460</v>
      </c>
      <c r="E247">
        <v>5</v>
      </c>
      <c r="F247">
        <v>2</v>
      </c>
      <c r="G247">
        <v>0</v>
      </c>
      <c r="H247" t="b">
        <v>0</v>
      </c>
      <c r="I247" s="109"/>
      <c r="M247" t="b">
        <v>0</v>
      </c>
      <c r="O247">
        <v>1</v>
      </c>
    </row>
    <row r="248" spans="2:15" x14ac:dyDescent="0.35">
      <c r="B248" t="s">
        <v>229</v>
      </c>
      <c r="C248" t="s">
        <v>461</v>
      </c>
      <c r="E248">
        <v>5</v>
      </c>
      <c r="F248">
        <v>10</v>
      </c>
      <c r="G248">
        <v>0</v>
      </c>
      <c r="H248" t="b">
        <v>0</v>
      </c>
      <c r="I248" s="109"/>
      <c r="M248" t="b">
        <v>0</v>
      </c>
      <c r="O248">
        <v>1</v>
      </c>
    </row>
    <row r="249" spans="2:15" x14ac:dyDescent="0.35">
      <c r="B249" t="s">
        <v>229</v>
      </c>
      <c r="C249" t="s">
        <v>462</v>
      </c>
      <c r="E249">
        <v>5</v>
      </c>
      <c r="F249">
        <v>15</v>
      </c>
      <c r="G249">
        <v>0</v>
      </c>
      <c r="H249" t="b">
        <v>0</v>
      </c>
      <c r="I249" s="109"/>
      <c r="M249" t="b">
        <v>0</v>
      </c>
      <c r="O249">
        <v>1</v>
      </c>
    </row>
    <row r="250" spans="2:15" x14ac:dyDescent="0.35">
      <c r="B250" t="s">
        <v>401</v>
      </c>
      <c r="C250" t="s">
        <v>554</v>
      </c>
      <c r="F250">
        <v>1</v>
      </c>
      <c r="G250">
        <v>0</v>
      </c>
      <c r="H250" t="b">
        <v>0</v>
      </c>
      <c r="I250" s="109"/>
      <c r="J250" s="9"/>
      <c r="M250" t="b">
        <v>0</v>
      </c>
      <c r="O250">
        <v>1.5</v>
      </c>
    </row>
    <row r="251" spans="2:15" x14ac:dyDescent="0.35">
      <c r="B251" t="s">
        <v>44</v>
      </c>
      <c r="C251" t="s">
        <v>359</v>
      </c>
      <c r="G251">
        <v>0</v>
      </c>
      <c r="I251" s="109"/>
      <c r="K251" t="s">
        <v>91</v>
      </c>
      <c r="L251" s="133"/>
      <c r="N251" s="133"/>
      <c r="O251">
        <v>2</v>
      </c>
    </row>
  </sheetData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3CEEA-026D-415B-81BF-03A60648E7D9}">
  <sheetPr>
    <tabColor rgb="FFFFC000"/>
  </sheetPr>
  <dimension ref="B1:G68"/>
  <sheetViews>
    <sheetView topLeftCell="A21" workbookViewId="0">
      <selection activeCell="K33" sqref="K33"/>
    </sheetView>
  </sheetViews>
  <sheetFormatPr defaultRowHeight="11.65" x14ac:dyDescent="0.35"/>
  <cols>
    <col min="1" max="1" width="2.75" customWidth="1"/>
    <col min="2" max="2" width="28.83203125" bestFit="1" customWidth="1"/>
    <col min="3" max="3" width="5.4140625" customWidth="1"/>
    <col min="4" max="4" width="13.1640625" customWidth="1"/>
    <col min="5" max="5" width="15.83203125" bestFit="1" customWidth="1"/>
    <col min="6" max="6" width="43" bestFit="1" customWidth="1"/>
    <col min="7" max="7" width="9.1640625" customWidth="1"/>
    <col min="8" max="8" width="2.75" customWidth="1"/>
    <col min="9" max="9" width="2.83203125" bestFit="1" customWidth="1"/>
    <col min="10" max="10" width="10.58203125" bestFit="1" customWidth="1"/>
    <col min="11" max="11" width="48" bestFit="1" customWidth="1"/>
    <col min="13" max="13" width="2.75" customWidth="1"/>
    <col min="14" max="14" width="22.75" bestFit="1" customWidth="1"/>
    <col min="16" max="16" width="10.58203125" bestFit="1" customWidth="1"/>
    <col min="17" max="17" width="27.4140625" bestFit="1" customWidth="1"/>
  </cols>
  <sheetData>
    <row r="1" spans="2:7" x14ac:dyDescent="0.35">
      <c r="B1" t="s">
        <v>111</v>
      </c>
    </row>
    <row r="2" spans="2:7" x14ac:dyDescent="0.35">
      <c r="B2" t="s">
        <v>7</v>
      </c>
      <c r="C2" t="s">
        <v>4</v>
      </c>
      <c r="D2" t="s">
        <v>89</v>
      </c>
      <c r="E2" t="s">
        <v>151</v>
      </c>
      <c r="F2" t="s">
        <v>93</v>
      </c>
      <c r="G2" t="s">
        <v>15</v>
      </c>
    </row>
    <row r="3" spans="2:7" x14ac:dyDescent="0.35">
      <c r="B3" t="s">
        <v>117</v>
      </c>
    </row>
    <row r="4" spans="2:7" x14ac:dyDescent="0.35">
      <c r="B4" t="s">
        <v>472</v>
      </c>
      <c r="C4">
        <v>7</v>
      </c>
      <c r="D4">
        <v>0</v>
      </c>
      <c r="F4" t="s">
        <v>340</v>
      </c>
      <c r="G4">
        <v>0</v>
      </c>
    </row>
    <row r="5" spans="2:7" x14ac:dyDescent="0.35">
      <c r="B5" t="s">
        <v>473</v>
      </c>
      <c r="C5">
        <v>7</v>
      </c>
      <c r="D5">
        <v>0</v>
      </c>
      <c r="F5" t="s">
        <v>349</v>
      </c>
      <c r="G5">
        <v>0</v>
      </c>
    </row>
    <row r="6" spans="2:7" x14ac:dyDescent="0.35">
      <c r="B6" t="s">
        <v>527</v>
      </c>
      <c r="C6">
        <v>7</v>
      </c>
      <c r="D6">
        <v>0</v>
      </c>
      <c r="F6" t="s">
        <v>528</v>
      </c>
      <c r="G6">
        <v>0</v>
      </c>
    </row>
    <row r="7" spans="2:7" x14ac:dyDescent="0.35">
      <c r="B7" t="s">
        <v>477</v>
      </c>
      <c r="C7">
        <v>7</v>
      </c>
      <c r="D7">
        <v>0</v>
      </c>
      <c r="F7" t="s">
        <v>350</v>
      </c>
      <c r="G7">
        <v>0</v>
      </c>
    </row>
    <row r="9" spans="2:7" x14ac:dyDescent="0.35">
      <c r="B9" t="s">
        <v>112</v>
      </c>
    </row>
    <row r="10" spans="2:7" x14ac:dyDescent="0.35">
      <c r="B10" t="s">
        <v>7</v>
      </c>
      <c r="C10" t="s">
        <v>4</v>
      </c>
      <c r="D10" t="s">
        <v>89</v>
      </c>
      <c r="E10" t="s">
        <v>151</v>
      </c>
      <c r="F10" t="s">
        <v>93</v>
      </c>
      <c r="G10" t="s">
        <v>15</v>
      </c>
    </row>
    <row r="11" spans="2:7" x14ac:dyDescent="0.35">
      <c r="B11" t="s">
        <v>117</v>
      </c>
    </row>
    <row r="12" spans="2:7" x14ac:dyDescent="0.35">
      <c r="B12" t="s">
        <v>104</v>
      </c>
      <c r="C12">
        <v>8</v>
      </c>
      <c r="D12">
        <v>1</v>
      </c>
      <c r="F12" t="s">
        <v>351</v>
      </c>
      <c r="G12">
        <v>0</v>
      </c>
    </row>
    <row r="13" spans="2:7" x14ac:dyDescent="0.35">
      <c r="B13" t="s">
        <v>621</v>
      </c>
      <c r="C13">
        <v>8</v>
      </c>
      <c r="D13">
        <v>1</v>
      </c>
      <c r="F13" t="s">
        <v>622</v>
      </c>
      <c r="G13">
        <v>0</v>
      </c>
    </row>
    <row r="14" spans="2:7" x14ac:dyDescent="0.35">
      <c r="B14" t="s">
        <v>556</v>
      </c>
      <c r="C14">
        <v>8</v>
      </c>
      <c r="D14">
        <v>0</v>
      </c>
      <c r="F14" t="s">
        <v>359</v>
      </c>
      <c r="G14">
        <v>0</v>
      </c>
    </row>
    <row r="15" spans="2:7" x14ac:dyDescent="0.35">
      <c r="B15" t="s">
        <v>587</v>
      </c>
      <c r="C15">
        <v>8</v>
      </c>
      <c r="D15">
        <v>1</v>
      </c>
      <c r="F15" t="s">
        <v>589</v>
      </c>
      <c r="G15">
        <v>0</v>
      </c>
    </row>
    <row r="16" spans="2:7" x14ac:dyDescent="0.35">
      <c r="B16" t="s">
        <v>105</v>
      </c>
      <c r="C16">
        <v>8</v>
      </c>
      <c r="D16">
        <v>1</v>
      </c>
      <c r="F16" t="s">
        <v>352</v>
      </c>
      <c r="G16">
        <v>0</v>
      </c>
    </row>
    <row r="17" spans="2:7" x14ac:dyDescent="0.35">
      <c r="B17" t="s">
        <v>106</v>
      </c>
      <c r="C17">
        <v>8</v>
      </c>
      <c r="D17">
        <v>1</v>
      </c>
      <c r="F17" t="s">
        <v>353</v>
      </c>
      <c r="G17">
        <v>0</v>
      </c>
    </row>
    <row r="18" spans="2:7" x14ac:dyDescent="0.35">
      <c r="B18" t="s">
        <v>107</v>
      </c>
      <c r="C18">
        <v>8</v>
      </c>
      <c r="D18">
        <v>1</v>
      </c>
      <c r="F18" t="s">
        <v>354</v>
      </c>
      <c r="G18">
        <v>0</v>
      </c>
    </row>
    <row r="19" spans="2:7" x14ac:dyDescent="0.35">
      <c r="B19" t="s">
        <v>476</v>
      </c>
      <c r="C19">
        <v>8</v>
      </c>
      <c r="D19">
        <v>1</v>
      </c>
      <c r="F19" t="s">
        <v>588</v>
      </c>
      <c r="G19">
        <v>0</v>
      </c>
    </row>
    <row r="21" spans="2:7" x14ac:dyDescent="0.35">
      <c r="B21" t="s">
        <v>113</v>
      </c>
    </row>
    <row r="22" spans="2:7" x14ac:dyDescent="0.35">
      <c r="B22" t="s">
        <v>7</v>
      </c>
      <c r="C22" t="s">
        <v>4</v>
      </c>
      <c r="D22" t="s">
        <v>89</v>
      </c>
      <c r="E22" t="s">
        <v>151</v>
      </c>
      <c r="F22" t="s">
        <v>93</v>
      </c>
      <c r="G22" t="s">
        <v>15</v>
      </c>
    </row>
    <row r="23" spans="2:7" x14ac:dyDescent="0.35">
      <c r="B23" t="s">
        <v>117</v>
      </c>
    </row>
    <row r="24" spans="2:7" x14ac:dyDescent="0.35">
      <c r="B24" t="s">
        <v>109</v>
      </c>
      <c r="C24">
        <v>8</v>
      </c>
      <c r="D24">
        <v>1</v>
      </c>
      <c r="F24" t="s">
        <v>733</v>
      </c>
      <c r="G24">
        <v>0</v>
      </c>
    </row>
    <row r="25" spans="2:7" x14ac:dyDescent="0.35">
      <c r="B25" t="s">
        <v>110</v>
      </c>
      <c r="C25">
        <v>8</v>
      </c>
      <c r="D25">
        <v>1</v>
      </c>
      <c r="F25" t="s">
        <v>734</v>
      </c>
      <c r="G25">
        <v>10000</v>
      </c>
    </row>
    <row r="27" spans="2:7" x14ac:dyDescent="0.35">
      <c r="B27" t="s">
        <v>114</v>
      </c>
    </row>
    <row r="28" spans="2:7" x14ac:dyDescent="0.35">
      <c r="B28" t="s">
        <v>7</v>
      </c>
      <c r="C28" t="s">
        <v>4</v>
      </c>
      <c r="D28" t="s">
        <v>89</v>
      </c>
      <c r="E28" t="s">
        <v>151</v>
      </c>
      <c r="F28" t="s">
        <v>93</v>
      </c>
      <c r="G28" t="s">
        <v>15</v>
      </c>
    </row>
    <row r="29" spans="2:7" x14ac:dyDescent="0.35">
      <c r="B29" t="s">
        <v>117</v>
      </c>
      <c r="C29">
        <v>0</v>
      </c>
      <c r="E29" t="s">
        <v>91</v>
      </c>
    </row>
    <row r="30" spans="2:7" x14ac:dyDescent="0.35">
      <c r="B30" t="s">
        <v>115</v>
      </c>
      <c r="C30">
        <v>8</v>
      </c>
      <c r="D30">
        <v>0</v>
      </c>
      <c r="E30" t="s">
        <v>48</v>
      </c>
      <c r="F30" t="str">
        <f>StandardBrain[[#This Row],[Name]]</f>
        <v>Admin</v>
      </c>
      <c r="G30">
        <v>100</v>
      </c>
    </row>
    <row r="31" spans="2:7" x14ac:dyDescent="0.35">
      <c r="B31" t="s">
        <v>118</v>
      </c>
      <c r="C31">
        <v>10</v>
      </c>
      <c r="D31">
        <v>0</v>
      </c>
      <c r="E31" t="s">
        <v>48</v>
      </c>
      <c r="F31" t="str">
        <f>StandardBrain[[#This Row],[Name]]</f>
        <v>Advocate</v>
      </c>
      <c r="G31">
        <v>500</v>
      </c>
    </row>
    <row r="32" spans="2:7" x14ac:dyDescent="0.35">
      <c r="B32" t="s">
        <v>143</v>
      </c>
      <c r="C32">
        <v>9</v>
      </c>
      <c r="D32">
        <v>0</v>
      </c>
      <c r="E32" t="s">
        <v>47</v>
      </c>
      <c r="F32" t="s">
        <v>367</v>
      </c>
      <c r="G32">
        <v>200</v>
      </c>
    </row>
    <row r="33" spans="2:7" x14ac:dyDescent="0.35">
      <c r="B33" t="s">
        <v>120</v>
      </c>
      <c r="C33">
        <v>10</v>
      </c>
      <c r="D33">
        <v>0</v>
      </c>
      <c r="E33" t="s">
        <v>48</v>
      </c>
      <c r="F33" t="s">
        <v>362</v>
      </c>
      <c r="G33">
        <v>500</v>
      </c>
    </row>
    <row r="34" spans="2:7" x14ac:dyDescent="0.35">
      <c r="B34" t="s">
        <v>119</v>
      </c>
      <c r="C34">
        <v>12</v>
      </c>
      <c r="D34">
        <v>1</v>
      </c>
      <c r="E34" t="s">
        <v>48</v>
      </c>
      <c r="F34" t="str">
        <f>StandardBrain[[#This Row],[Name]]</f>
        <v>Astrogation</v>
      </c>
      <c r="G34">
        <v>500</v>
      </c>
    </row>
    <row r="35" spans="2:7" x14ac:dyDescent="0.35">
      <c r="B35" t="s">
        <v>208</v>
      </c>
      <c r="C35">
        <v>8</v>
      </c>
      <c r="D35">
        <v>0</v>
      </c>
      <c r="E35" t="s">
        <v>217</v>
      </c>
      <c r="F35" t="s">
        <v>366</v>
      </c>
      <c r="G35">
        <v>100</v>
      </c>
    </row>
    <row r="36" spans="2:7" x14ac:dyDescent="0.35">
      <c r="B36" t="s">
        <v>121</v>
      </c>
      <c r="C36">
        <v>10</v>
      </c>
      <c r="D36">
        <v>0</v>
      </c>
      <c r="E36" t="s">
        <v>48</v>
      </c>
      <c r="F36" t="str">
        <f>StandardBrain[[#This Row],[Name]]</f>
        <v>Broker</v>
      </c>
      <c r="G36">
        <v>200</v>
      </c>
    </row>
    <row r="37" spans="2:7" x14ac:dyDescent="0.35">
      <c r="B37" t="s">
        <v>122</v>
      </c>
      <c r="C37">
        <v>11</v>
      </c>
      <c r="D37">
        <v>1</v>
      </c>
      <c r="E37" t="s">
        <v>48</v>
      </c>
      <c r="F37" t="str">
        <f>StandardBrain[[#This Row],[Name]]</f>
        <v>Carouse</v>
      </c>
      <c r="G37">
        <v>500</v>
      </c>
    </row>
    <row r="38" spans="2:7" x14ac:dyDescent="0.35">
      <c r="B38" t="s">
        <v>123</v>
      </c>
      <c r="C38">
        <v>13</v>
      </c>
      <c r="D38">
        <v>1</v>
      </c>
      <c r="E38" t="s">
        <v>48</v>
      </c>
      <c r="F38" t="str">
        <f>StandardBrain[[#This Row],[Name]]</f>
        <v>Deception</v>
      </c>
      <c r="G38">
        <v>1000</v>
      </c>
    </row>
    <row r="39" spans="2:7" x14ac:dyDescent="0.35">
      <c r="B39" t="s">
        <v>124</v>
      </c>
      <c r="C39">
        <v>10</v>
      </c>
      <c r="D39">
        <v>1</v>
      </c>
      <c r="E39" t="s">
        <v>48</v>
      </c>
      <c r="F39" t="str">
        <f>StandardBrain[[#This Row],[Name]]</f>
        <v>Diplomat</v>
      </c>
      <c r="G39">
        <v>500</v>
      </c>
    </row>
    <row r="40" spans="2:7" x14ac:dyDescent="0.35">
      <c r="B40" t="s">
        <v>139</v>
      </c>
      <c r="C40">
        <v>8</v>
      </c>
      <c r="D40">
        <v>0</v>
      </c>
      <c r="E40" t="s">
        <v>47</v>
      </c>
      <c r="F40" t="s">
        <v>533</v>
      </c>
      <c r="G40">
        <v>100</v>
      </c>
    </row>
    <row r="41" spans="2:7" x14ac:dyDescent="0.35">
      <c r="B41" t="s">
        <v>148</v>
      </c>
      <c r="C41">
        <v>8</v>
      </c>
      <c r="D41">
        <v>0</v>
      </c>
      <c r="E41" t="s">
        <v>48</v>
      </c>
      <c r="F41" t="s">
        <v>365</v>
      </c>
      <c r="G41">
        <v>100</v>
      </c>
    </row>
    <row r="42" spans="2:7" x14ac:dyDescent="0.35">
      <c r="B42" t="s">
        <v>149</v>
      </c>
      <c r="C42">
        <v>9</v>
      </c>
      <c r="D42">
        <v>0</v>
      </c>
      <c r="E42" t="s">
        <v>48</v>
      </c>
      <c r="F42" t="s">
        <v>364</v>
      </c>
      <c r="G42">
        <v>200</v>
      </c>
    </row>
    <row r="43" spans="2:7" x14ac:dyDescent="0.35">
      <c r="B43" t="s">
        <v>125</v>
      </c>
      <c r="C43">
        <v>8</v>
      </c>
      <c r="D43">
        <v>0</v>
      </c>
      <c r="E43" t="s">
        <v>48</v>
      </c>
      <c r="F43" t="str">
        <f>StandardBrain[[#This Row],[Name]]</f>
        <v>Explosives</v>
      </c>
      <c r="G43">
        <v>100</v>
      </c>
    </row>
    <row r="44" spans="2:7" x14ac:dyDescent="0.35">
      <c r="B44" t="s">
        <v>140</v>
      </c>
      <c r="C44">
        <v>8</v>
      </c>
      <c r="D44">
        <v>0</v>
      </c>
      <c r="E44" t="s">
        <v>47</v>
      </c>
      <c r="F44" t="s">
        <v>363</v>
      </c>
      <c r="G44">
        <v>100</v>
      </c>
    </row>
    <row r="45" spans="2:7" x14ac:dyDescent="0.35">
      <c r="B45" t="s">
        <v>126</v>
      </c>
      <c r="C45">
        <v>10</v>
      </c>
      <c r="D45">
        <v>0</v>
      </c>
      <c r="E45" t="s">
        <v>48</v>
      </c>
      <c r="F45" t="str">
        <f>StandardBrain[[#This Row],[Name]]</f>
        <v>Gambler</v>
      </c>
      <c r="G45">
        <v>500</v>
      </c>
    </row>
    <row r="46" spans="2:7" x14ac:dyDescent="0.35">
      <c r="B46" t="s">
        <v>145</v>
      </c>
      <c r="C46">
        <v>8</v>
      </c>
      <c r="D46">
        <v>0</v>
      </c>
      <c r="E46" t="s">
        <v>47</v>
      </c>
      <c r="F46" t="s">
        <v>368</v>
      </c>
      <c r="G46">
        <v>100</v>
      </c>
    </row>
    <row r="47" spans="2:7" x14ac:dyDescent="0.35">
      <c r="B47" t="s">
        <v>146</v>
      </c>
      <c r="C47">
        <v>8</v>
      </c>
      <c r="D47">
        <v>0</v>
      </c>
      <c r="E47" t="s">
        <v>47</v>
      </c>
      <c r="F47" t="s">
        <v>369</v>
      </c>
      <c r="G47">
        <v>100</v>
      </c>
    </row>
    <row r="48" spans="2:7" x14ac:dyDescent="0.35">
      <c r="B48" t="s">
        <v>147</v>
      </c>
      <c r="C48">
        <v>8</v>
      </c>
      <c r="D48">
        <v>0</v>
      </c>
      <c r="E48" t="s">
        <v>47</v>
      </c>
      <c r="F48" t="s">
        <v>370</v>
      </c>
      <c r="G48">
        <v>100</v>
      </c>
    </row>
    <row r="49" spans="2:7" x14ac:dyDescent="0.35">
      <c r="B49" t="s">
        <v>127</v>
      </c>
      <c r="C49">
        <v>11</v>
      </c>
      <c r="D49">
        <v>1</v>
      </c>
      <c r="E49" t="s">
        <v>48</v>
      </c>
      <c r="F49" t="str">
        <f>StandardBrain[[#This Row],[Name]]</f>
        <v>Investigate</v>
      </c>
      <c r="G49">
        <v>500</v>
      </c>
    </row>
    <row r="50" spans="2:7" x14ac:dyDescent="0.35">
      <c r="B50" t="s">
        <v>128</v>
      </c>
      <c r="C50">
        <v>9</v>
      </c>
      <c r="D50">
        <v>0</v>
      </c>
      <c r="E50" t="s">
        <v>48</v>
      </c>
      <c r="F50" t="s">
        <v>371</v>
      </c>
      <c r="G50">
        <v>200</v>
      </c>
    </row>
    <row r="51" spans="2:7" x14ac:dyDescent="0.35">
      <c r="B51" t="s">
        <v>129</v>
      </c>
      <c r="C51">
        <v>13</v>
      </c>
      <c r="D51">
        <v>1</v>
      </c>
      <c r="E51" t="s">
        <v>48</v>
      </c>
      <c r="F51" t="str">
        <f>StandardBrain[[#This Row],[Name]]</f>
        <v>Leadership</v>
      </c>
      <c r="G51">
        <v>1000</v>
      </c>
    </row>
    <row r="52" spans="2:7" x14ac:dyDescent="0.35">
      <c r="B52" t="s">
        <v>130</v>
      </c>
      <c r="C52">
        <v>8</v>
      </c>
      <c r="D52">
        <v>0</v>
      </c>
      <c r="E52" t="s">
        <v>48</v>
      </c>
      <c r="F52" t="str">
        <f>StandardBrain[[#This Row],[Name]]</f>
        <v>Mechanic</v>
      </c>
      <c r="G52">
        <v>100</v>
      </c>
    </row>
    <row r="53" spans="2:7" x14ac:dyDescent="0.35">
      <c r="B53" t="s">
        <v>131</v>
      </c>
      <c r="C53">
        <v>9</v>
      </c>
      <c r="D53">
        <v>0</v>
      </c>
      <c r="E53" t="s">
        <v>48</v>
      </c>
      <c r="F53" t="str">
        <f>StandardBrain[[#This Row],[Name]]</f>
        <v>Medic</v>
      </c>
      <c r="G53">
        <v>200</v>
      </c>
    </row>
    <row r="54" spans="2:7" x14ac:dyDescent="0.35">
      <c r="B54" t="s">
        <v>132</v>
      </c>
      <c r="C54">
        <v>8</v>
      </c>
      <c r="D54">
        <v>0</v>
      </c>
      <c r="E54" t="s">
        <v>47</v>
      </c>
      <c r="F54" t="s">
        <v>372</v>
      </c>
      <c r="G54">
        <v>100</v>
      </c>
    </row>
    <row r="55" spans="2:7" x14ac:dyDescent="0.35">
      <c r="B55" t="s">
        <v>133</v>
      </c>
      <c r="C55">
        <v>8</v>
      </c>
      <c r="D55">
        <v>0</v>
      </c>
      <c r="E55" t="s">
        <v>48</v>
      </c>
      <c r="F55" t="str">
        <f>StandardBrain[[#This Row],[Name]]</f>
        <v>Navigation</v>
      </c>
      <c r="G55">
        <v>100</v>
      </c>
    </row>
    <row r="56" spans="2:7" x14ac:dyDescent="0.35">
      <c r="B56" t="s">
        <v>134</v>
      </c>
      <c r="C56">
        <v>11</v>
      </c>
      <c r="D56">
        <v>1</v>
      </c>
      <c r="E56" t="s">
        <v>48</v>
      </c>
      <c r="F56" t="str">
        <f>StandardBrain[[#This Row],[Name]]</f>
        <v>Persuade</v>
      </c>
      <c r="G56">
        <v>500</v>
      </c>
    </row>
    <row r="57" spans="2:7" x14ac:dyDescent="0.35">
      <c r="B57" t="s">
        <v>138</v>
      </c>
      <c r="C57">
        <v>8</v>
      </c>
      <c r="D57">
        <v>0</v>
      </c>
      <c r="E57" t="s">
        <v>47</v>
      </c>
      <c r="F57" t="s">
        <v>373</v>
      </c>
      <c r="G57">
        <v>100</v>
      </c>
    </row>
    <row r="58" spans="2:7" x14ac:dyDescent="0.35">
      <c r="B58" t="s">
        <v>135</v>
      </c>
      <c r="C58">
        <v>9</v>
      </c>
      <c r="D58">
        <v>0</v>
      </c>
      <c r="E58" t="s">
        <v>48</v>
      </c>
      <c r="F58" t="s">
        <v>374</v>
      </c>
      <c r="G58">
        <v>200</v>
      </c>
    </row>
    <row r="59" spans="2:7" x14ac:dyDescent="0.35">
      <c r="B59" t="s">
        <v>763</v>
      </c>
      <c r="C59">
        <v>10</v>
      </c>
      <c r="D59">
        <v>0</v>
      </c>
      <c r="E59" t="s">
        <v>48</v>
      </c>
      <c r="F59" t="str">
        <f>StandardBrain[[#This Row],[Name]]</f>
        <v>Recon</v>
      </c>
      <c r="G59">
        <v>500</v>
      </c>
    </row>
    <row r="60" spans="2:7" x14ac:dyDescent="0.35">
      <c r="B60" t="s">
        <v>136</v>
      </c>
      <c r="C60">
        <v>9</v>
      </c>
      <c r="D60">
        <v>0</v>
      </c>
      <c r="E60" t="s">
        <v>48</v>
      </c>
      <c r="F60" t="s">
        <v>375</v>
      </c>
      <c r="G60">
        <v>200</v>
      </c>
    </row>
    <row r="61" spans="2:7" x14ac:dyDescent="0.35">
      <c r="B61" t="s">
        <v>137</v>
      </c>
      <c r="C61">
        <v>8</v>
      </c>
      <c r="D61">
        <v>0</v>
      </c>
      <c r="E61" t="s">
        <v>47</v>
      </c>
      <c r="F61" t="s">
        <v>376</v>
      </c>
      <c r="G61">
        <v>100</v>
      </c>
    </row>
    <row r="62" spans="2:7" x14ac:dyDescent="0.35">
      <c r="B62" t="s">
        <v>764</v>
      </c>
      <c r="C62">
        <v>10</v>
      </c>
      <c r="D62">
        <v>0</v>
      </c>
      <c r="E62" t="s">
        <v>47</v>
      </c>
      <c r="F62" t="str">
        <f>StandardBrain[[#This Row],[Name]]</f>
        <v>Stealth</v>
      </c>
      <c r="G62">
        <v>500</v>
      </c>
    </row>
    <row r="63" spans="2:7" x14ac:dyDescent="0.35">
      <c r="B63" t="s">
        <v>144</v>
      </c>
      <c r="C63">
        <v>8</v>
      </c>
      <c r="D63">
        <v>0</v>
      </c>
      <c r="E63" t="s">
        <v>48</v>
      </c>
      <c r="F63" t="str">
        <f>StandardBrain[[#This Row],[Name]]</f>
        <v>Steward</v>
      </c>
      <c r="G63">
        <v>100</v>
      </c>
    </row>
    <row r="64" spans="2:7" x14ac:dyDescent="0.35">
      <c r="B64" t="s">
        <v>141</v>
      </c>
      <c r="C64">
        <v>13</v>
      </c>
      <c r="D64">
        <v>1</v>
      </c>
      <c r="E64" t="s">
        <v>48</v>
      </c>
      <c r="F64" t="str">
        <f>StandardBrain[[#This Row],[Name]]</f>
        <v>Streetwise</v>
      </c>
      <c r="G64">
        <v>1000</v>
      </c>
    </row>
    <row r="65" spans="2:7" x14ac:dyDescent="0.35">
      <c r="B65" t="s">
        <v>142</v>
      </c>
      <c r="C65">
        <v>10</v>
      </c>
      <c r="D65">
        <v>0</v>
      </c>
      <c r="E65" t="s">
        <v>48</v>
      </c>
      <c r="F65" t="str">
        <f>StandardBrain[[#This Row],[Name]]</f>
        <v>Survival</v>
      </c>
      <c r="G65">
        <v>200</v>
      </c>
    </row>
    <row r="66" spans="2:7" x14ac:dyDescent="0.35">
      <c r="B66" t="s">
        <v>150</v>
      </c>
      <c r="C66">
        <v>8</v>
      </c>
      <c r="D66">
        <v>0</v>
      </c>
      <c r="E66" t="s">
        <v>48</v>
      </c>
      <c r="F66" t="s">
        <v>377</v>
      </c>
      <c r="G66">
        <v>100</v>
      </c>
    </row>
    <row r="67" spans="2:7" x14ac:dyDescent="0.35">
      <c r="B67" t="s">
        <v>509</v>
      </c>
      <c r="C67">
        <v>8</v>
      </c>
      <c r="D67">
        <v>1</v>
      </c>
      <c r="E67" t="s">
        <v>48</v>
      </c>
      <c r="F67" t="s">
        <v>510</v>
      </c>
      <c r="G67">
        <v>1000</v>
      </c>
    </row>
    <row r="68" spans="2:7" x14ac:dyDescent="0.35">
      <c r="B68" t="s">
        <v>508</v>
      </c>
    </row>
  </sheetData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AF00-BE3E-4F7A-9352-8E8E9E57967F}">
  <sheetPr>
    <tabColor theme="1"/>
  </sheetPr>
  <dimension ref="A1:B26"/>
  <sheetViews>
    <sheetView workbookViewId="0">
      <selection activeCell="B41" sqref="B41"/>
    </sheetView>
  </sheetViews>
  <sheetFormatPr defaultRowHeight="11.65" x14ac:dyDescent="0.35"/>
  <cols>
    <col min="1" max="1" width="9.1640625" style="130"/>
    <col min="2" max="2" width="180.25" bestFit="1" customWidth="1"/>
  </cols>
  <sheetData>
    <row r="1" spans="1:2" x14ac:dyDescent="0.35">
      <c r="A1" s="132" t="s">
        <v>753</v>
      </c>
    </row>
    <row r="2" spans="1:2" x14ac:dyDescent="0.35">
      <c r="A2" s="130">
        <v>1</v>
      </c>
      <c r="B2" t="s">
        <v>474</v>
      </c>
    </row>
    <row r="3" spans="1:2" x14ac:dyDescent="0.35">
      <c r="A3" s="130">
        <v>1.1000000000000001</v>
      </c>
      <c r="B3" t="s">
        <v>478</v>
      </c>
    </row>
    <row r="4" spans="1:2" x14ac:dyDescent="0.35">
      <c r="A4" s="131">
        <v>1.2</v>
      </c>
      <c r="B4" t="s">
        <v>633</v>
      </c>
    </row>
    <row r="5" spans="1:2" x14ac:dyDescent="0.35">
      <c r="A5" s="130">
        <v>1.21</v>
      </c>
      <c r="B5" t="s">
        <v>557</v>
      </c>
    </row>
    <row r="6" spans="1:2" x14ac:dyDescent="0.35">
      <c r="A6" s="130">
        <v>1.22</v>
      </c>
      <c r="B6" t="s">
        <v>635</v>
      </c>
    </row>
    <row r="7" spans="1:2" x14ac:dyDescent="0.35">
      <c r="A7" s="130">
        <v>1.23</v>
      </c>
      <c r="B7" t="s">
        <v>569</v>
      </c>
    </row>
    <row r="8" spans="1:2" x14ac:dyDescent="0.35">
      <c r="A8" s="130">
        <v>1.3</v>
      </c>
      <c r="B8" t="s">
        <v>570</v>
      </c>
    </row>
    <row r="9" spans="1:2" x14ac:dyDescent="0.35">
      <c r="A9" s="130">
        <v>1.31</v>
      </c>
      <c r="B9" t="s">
        <v>634</v>
      </c>
    </row>
    <row r="10" spans="1:2" x14ac:dyDescent="0.35">
      <c r="A10" s="130">
        <v>1.32</v>
      </c>
      <c r="B10" t="s">
        <v>699</v>
      </c>
    </row>
    <row r="11" spans="1:2" x14ac:dyDescent="0.35">
      <c r="A11" s="131" t="s">
        <v>614</v>
      </c>
      <c r="B11" t="s">
        <v>615</v>
      </c>
    </row>
    <row r="12" spans="1:2" x14ac:dyDescent="0.35">
      <c r="A12" s="130">
        <v>1.33</v>
      </c>
      <c r="B12" t="s">
        <v>623</v>
      </c>
    </row>
    <row r="13" spans="1:2" x14ac:dyDescent="0.35">
      <c r="A13" s="130">
        <v>1.34</v>
      </c>
      <c r="B13" t="s">
        <v>638</v>
      </c>
    </row>
    <row r="14" spans="1:2" x14ac:dyDescent="0.35">
      <c r="A14" s="130">
        <v>1.35</v>
      </c>
      <c r="B14" t="s">
        <v>637</v>
      </c>
    </row>
    <row r="15" spans="1:2" x14ac:dyDescent="0.35">
      <c r="A15" s="130">
        <v>1.36</v>
      </c>
      <c r="B15" t="s">
        <v>651</v>
      </c>
    </row>
    <row r="16" spans="1:2" x14ac:dyDescent="0.35">
      <c r="A16" s="130">
        <v>1.37</v>
      </c>
      <c r="B16" t="s">
        <v>650</v>
      </c>
    </row>
    <row r="17" spans="1:2" x14ac:dyDescent="0.35">
      <c r="A17" s="130">
        <v>1.38</v>
      </c>
      <c r="B17" t="s">
        <v>656</v>
      </c>
    </row>
    <row r="18" spans="1:2" x14ac:dyDescent="0.35">
      <c r="A18" s="130">
        <v>1.39</v>
      </c>
      <c r="B18" t="s">
        <v>700</v>
      </c>
    </row>
    <row r="19" spans="1:2" x14ac:dyDescent="0.35">
      <c r="A19" s="130">
        <v>1.4</v>
      </c>
      <c r="B19" t="s">
        <v>728</v>
      </c>
    </row>
    <row r="20" spans="1:2" x14ac:dyDescent="0.35">
      <c r="A20" s="131" t="s">
        <v>751</v>
      </c>
      <c r="B20" t="s">
        <v>752</v>
      </c>
    </row>
    <row r="21" spans="1:2" x14ac:dyDescent="0.35">
      <c r="A21" s="130">
        <v>1.41</v>
      </c>
      <c r="B21" t="s">
        <v>762</v>
      </c>
    </row>
    <row r="22" spans="1:2" ht="23.25" x14ac:dyDescent="0.35">
      <c r="A22" s="130">
        <v>1.42</v>
      </c>
      <c r="B22" s="129" t="s">
        <v>772</v>
      </c>
    </row>
    <row r="23" spans="1:2" x14ac:dyDescent="0.35">
      <c r="A23" s="130">
        <v>1.43</v>
      </c>
      <c r="B23" t="s">
        <v>773</v>
      </c>
    </row>
    <row r="24" spans="1:2" x14ac:dyDescent="0.35">
      <c r="A24" s="130">
        <v>1.44</v>
      </c>
      <c r="B24" t="s">
        <v>774</v>
      </c>
    </row>
    <row r="25" spans="1:2" x14ac:dyDescent="0.35">
      <c r="A25" s="130">
        <v>1.5</v>
      </c>
      <c r="B25" t="s">
        <v>783</v>
      </c>
    </row>
    <row r="26" spans="1:2" x14ac:dyDescent="0.35">
      <c r="A26" s="130">
        <v>1.51</v>
      </c>
      <c r="B26" t="s">
        <v>785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EBCA-DDE2-4B66-90EF-DD8E22C305E0}">
  <sheetPr>
    <tabColor rgb="FF92D050"/>
  </sheetPr>
  <dimension ref="A1:Z110"/>
  <sheetViews>
    <sheetView tabSelected="1"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820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30600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4</v>
      </c>
      <c r="E4" s="114">
        <f>_xlfn.XLOOKUP(B4,Size[Size],Size[Base Slots],,,)</f>
        <v>8</v>
      </c>
      <c r="F4" s="37">
        <f>B4+O2</f>
        <v>16</v>
      </c>
      <c r="G4" s="168" t="s">
        <v>299</v>
      </c>
      <c r="H4" s="168"/>
      <c r="I4" s="169"/>
      <c r="J4" s="108">
        <f>_xlfn.XLOOKUP(B4,Size[Size],Size[Base hits],,,)</f>
        <v>12</v>
      </c>
      <c r="K4" s="170" t="s">
        <v>727</v>
      </c>
      <c r="L4" s="171"/>
      <c r="M4" s="52">
        <f>_xlfn.XLOOKUP(B4,Size[Size],Size[Basic Cost],,,)</f>
        <v>800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(-1), </v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8000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Basic Admin Droid</v>
      </c>
      <c r="S6" s="143">
        <f>M11</f>
        <v>12</v>
      </c>
      <c r="T6" s="143" t="str">
        <f>B5</f>
        <v>Walker</v>
      </c>
      <c r="U6" s="143" t="str">
        <f>_xlfn.CONCAT(J14," m")</f>
        <v>5 m</v>
      </c>
      <c r="V6" s="144">
        <f>O2</f>
        <v>12</v>
      </c>
      <c r="W6" s="147">
        <f>P91</f>
        <v>34000</v>
      </c>
      <c r="X6" s="151">
        <f>IF(I2="Standard Design",0.1,0)</f>
        <v>0.1</v>
      </c>
      <c r="Y6" s="152">
        <v>2</v>
      </c>
      <c r="Z6" s="147">
        <f>FLOOR(P91*(1-X6),100)</f>
        <v>30600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40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Admin 1, Advocate 1, Persuade 1,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108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-1</v>
      </c>
      <c r="F9" s="37"/>
      <c r="G9" s="179" t="s">
        <v>302</v>
      </c>
      <c r="H9" s="179"/>
      <c r="I9" s="180"/>
      <c r="J9" s="51">
        <f>J8*(1+B9)</f>
        <v>216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500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7)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12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216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Small (-1), (idle),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216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(improved), Visual Spectrum Sensor, Voder Speaker, Wireless Data Link, Drone Interface, Quick Charger, Storage Compartment (standard), Vacuum Environment Protection, , , , 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7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15</v>
      </c>
      <c r="K19" s="16"/>
      <c r="L19" s="60">
        <f t="shared" ref="L19:L28" si="5">D19+K19</f>
        <v>7</v>
      </c>
      <c r="M19" s="61">
        <f>IF(L19&gt;20,5,IF(L19&gt;17,4,IF(L19&gt;14,3,IF(L19&gt;11,2,IF(L19&gt;8,1,IF(L19&gt;5,0,IF(L19&gt;2,-1,-2)))))))</f>
        <v>0</v>
      </c>
      <c r="O19" s="12" t="str">
        <f>IF(I19&gt;0,_xlfn.CONCAT("Athletics (strength) ",I19,", "),"")</f>
        <v/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6">IF(B20=0,0,ROUNDUP($O$2/2+1,0))</f>
        <v>7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15</v>
      </c>
      <c r="K20" s="16"/>
      <c r="L20" s="6">
        <f t="shared" si="5"/>
        <v>7</v>
      </c>
      <c r="M20" s="61">
        <f t="shared" ref="M20:M28" si="7">IF(L20&gt;20,5,IF(L20&gt;17,4,IF(L20&gt;14,3,IF(L20&gt;11,2,IF(L20&gt;8,1,IF(L20&gt;5,0,IF(L20&gt;2,-1,-2)))))))</f>
        <v>0</v>
      </c>
      <c r="O20" s="12" t="str">
        <f t="shared" ref="O20:O28" si="8">IF(I20&gt;0,_xlfn.CONCAT("Athletics (strength) ",I20,", "),"")</f>
        <v/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15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15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15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15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15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15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15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15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464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8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641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1 hour recharge</v>
      </c>
      <c r="I37" s="194"/>
      <c r="J37" s="194"/>
      <c r="K37" s="43">
        <f>_xlfn.XLOOKUP(A37,OptionsTable[Name],OptionsTable[TL],,,)</f>
        <v>8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200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471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-6</v>
      </c>
      <c r="F38" s="37">
        <f>IF(_xlfn.XLOOKUP(A38,OptionsTable[Name],OptionsTable[xS],,,)=FALSE,1,IF($B$4&gt;0,$E$4,1))</f>
        <v>1</v>
      </c>
      <c r="G38" s="57">
        <v>6</v>
      </c>
      <c r="H38" s="193" t="str">
        <f>IF(_xlfn.XLOOKUP(A38,OptionsTable[Name],OptionsTable[Notes],,,)="","",_xlfn.XLOOKUP(A38,OptionsTable[Name],OptionsTable[Notes],,,))</f>
        <v>2 kg or litres / slot</v>
      </c>
      <c r="I38" s="194"/>
      <c r="J38" s="194"/>
      <c r="K38" s="43">
        <f>_xlfn.XLOOKUP(A38,OptionsTable[Name],OptionsTable[TL],,,)</f>
        <v>6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300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100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8</v>
      </c>
      <c r="G39" s="57"/>
      <c r="H39" s="193" t="str">
        <f>IF(_xlfn.XLOOKUP(A39,OptionsTable[Name],OptionsTable[Notes],,,)="","",_xlfn.XLOOKUP(A39,OptionsTable[Name],OptionsTable[Notes],,,))</f>
        <v>+ Hostile env</v>
      </c>
      <c r="I39" s="194"/>
      <c r="J39" s="194"/>
      <c r="K39" s="43">
        <f>_xlfn.XLOOKUP(A39,OptionsTable[Name],OptionsTable[TL],,,)</f>
        <v>6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4800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/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0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0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80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8</v>
      </c>
      <c r="I64" s="31">
        <f>IF(H64&gt;17,4,IF(H64&gt;14,3,IF(H64&gt;11,2,IF(H64&gt;8,1,IF(H64&gt;5,0,IF(H64&gt;2,-1,-2))))))</f>
        <v>0</v>
      </c>
      <c r="J64" s="1">
        <f>_xlfn.XLOOKUP(B64,Brains[Programming/Control],Brains[Computer/X],,,)</f>
        <v>2</v>
      </c>
      <c r="K64" s="43">
        <f>_xlfn.XLOOKUP(B64,Brains[Programming/Control],Brains[TL],,,)</f>
        <v>12</v>
      </c>
      <c r="L64">
        <f>_xlfn.XLOOKUP(B64,Brains[Programming/Control],Brains[Computer/X],,,)</f>
        <v>2</v>
      </c>
      <c r="M64" s="12" t="str">
        <f>_xlfn.XLOOKUP(B64,Brains[Programming/Control],Brains[Base capability (built-in no bandwidth, cumulative)],,,)</f>
        <v>Intelligent Interface, Expert/1, Security/1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26</v>
      </c>
      <c r="C65" s="192"/>
      <c r="D65" s="192"/>
      <c r="E65" s="39">
        <f>-_xlfn.XLOOKUP(B65,Bandwidth[Minimum Base Brain],Bandwidth[Slots],,,)</f>
        <v>0</v>
      </c>
      <c r="F65" s="37"/>
      <c r="K65" s="43">
        <f>_xlfn.XLOOKUP(B65,Bandwidth[Minimum Base Brain],Bandwidth[TL],,,)</f>
        <v>0</v>
      </c>
      <c r="L65">
        <f>_xlfn.XLOOKUP(B65,Bandwidth[Minimum Base Brain],Bandwidth[Bandwidth],,,)+L64</f>
        <v>2</v>
      </c>
      <c r="M65" t="s">
        <v>310</v>
      </c>
      <c r="P65" s="136">
        <f>_xlfn.XLOOKUP(B65,Bandwidth[Minimum Base Brain],Bandwidth[Cost],,,)</f>
        <v>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1</v>
      </c>
      <c r="E66" s="39"/>
      <c r="F66" s="37" cm="1">
        <f t="array" ref="F66">_xlfn.IFS(B66=0,0,B66=1,-1,B66=2,-3,B66=3,-6)</f>
        <v>-1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1</v>
      </c>
      <c r="M66" t="s">
        <v>310</v>
      </c>
      <c r="P66" s="136" cm="1">
        <f t="array" ref="P66">_xlfn.IFS(B66=0,0,B66=1,(H64+1)*1000,B66=2,(H64+1)*(H64+2)*1000,B66=3,(H64+1)*(H64+2)*(H64+3)*1000)*IF(H66&gt;11,2,1)</f>
        <v>9000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0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115</v>
      </c>
      <c r="B73" s="225"/>
      <c r="C73" s="226"/>
      <c r="D73" s="57">
        <v>0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0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8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Admin 1,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100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118</v>
      </c>
      <c r="B74" s="193"/>
      <c r="C74" s="227"/>
      <c r="D74" s="57">
        <v>0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0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10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Advocate 1,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500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134</v>
      </c>
      <c r="B75" s="193"/>
      <c r="C75" s="227"/>
      <c r="D75" s="57">
        <v>0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1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11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Persuade 1,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500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34000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30600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39">
    <sortCondition ref="A36:A39"/>
  </sortState>
  <dataConsolidate/>
  <mergeCells count="114">
    <mergeCell ref="B90:C90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1:D71"/>
    <mergeCell ref="B73:C73"/>
    <mergeCell ref="B74:C74"/>
    <mergeCell ref="B75:C75"/>
    <mergeCell ref="B76:C76"/>
    <mergeCell ref="B77:C77"/>
    <mergeCell ref="A61:D61"/>
    <mergeCell ref="H61:I61"/>
    <mergeCell ref="B64:D64"/>
    <mergeCell ref="B65:D65"/>
    <mergeCell ref="B69:D69"/>
    <mergeCell ref="B70:D70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A37:D37"/>
    <mergeCell ref="H37:J37"/>
    <mergeCell ref="A38:D38"/>
    <mergeCell ref="H38:J38"/>
    <mergeCell ref="A45:D45"/>
    <mergeCell ref="H45:J45"/>
    <mergeCell ref="A46:D46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H32:J32"/>
    <mergeCell ref="A33:D33"/>
    <mergeCell ref="H33:J33"/>
    <mergeCell ref="A34:D34"/>
    <mergeCell ref="H34:J34"/>
    <mergeCell ref="H35:J35"/>
    <mergeCell ref="R14:R18"/>
    <mergeCell ref="S14:Z18"/>
    <mergeCell ref="R21:Z76"/>
    <mergeCell ref="B29:D29"/>
    <mergeCell ref="H29:J29"/>
    <mergeCell ref="A30:D30"/>
    <mergeCell ref="H30:J30"/>
    <mergeCell ref="A31:D31"/>
    <mergeCell ref="H31:J31"/>
    <mergeCell ref="A32:D32"/>
    <mergeCell ref="A39:D39"/>
    <mergeCell ref="H39:J39"/>
    <mergeCell ref="A40:D40"/>
    <mergeCell ref="H40:J40"/>
    <mergeCell ref="A41:D41"/>
    <mergeCell ref="H41:J41"/>
    <mergeCell ref="A36:D36"/>
    <mergeCell ref="H36:J36"/>
    <mergeCell ref="G11:H11"/>
    <mergeCell ref="K11:L11"/>
    <mergeCell ref="S11:Z11"/>
    <mergeCell ref="G12:O12"/>
    <mergeCell ref="S12:Z12"/>
    <mergeCell ref="S13:Z13"/>
    <mergeCell ref="G9:I9"/>
    <mergeCell ref="K9:M9"/>
    <mergeCell ref="S9:Z9"/>
    <mergeCell ref="G10:H10"/>
    <mergeCell ref="K10:M10"/>
    <mergeCell ref="S10:Z10"/>
    <mergeCell ref="S7:Z8"/>
    <mergeCell ref="R7:R8"/>
    <mergeCell ref="G5:I5"/>
    <mergeCell ref="H6:N6"/>
    <mergeCell ref="G7:I7"/>
    <mergeCell ref="G8:I8"/>
    <mergeCell ref="K8:M8"/>
    <mergeCell ref="B2:D2"/>
    <mergeCell ref="F2:H2"/>
    <mergeCell ref="I2:M2"/>
    <mergeCell ref="G3:J3"/>
    <mergeCell ref="G4:I4"/>
    <mergeCell ref="K4:L4"/>
  </mergeCells>
  <conditionalFormatting sqref="B14">
    <cfRule type="expression" dxfId="203" priority="6">
      <formula>ABS($J$14-6) &gt; 6</formula>
    </cfRule>
  </conditionalFormatting>
  <conditionalFormatting sqref="E2">
    <cfRule type="expression" dxfId="202" priority="4">
      <formula>$E$2&lt;0</formula>
    </cfRule>
  </conditionalFormatting>
  <conditionalFormatting sqref="E15:E17">
    <cfRule type="expression" dxfId="201" priority="1">
      <formula>AND($B$4=0,E15&lt;0)</formula>
    </cfRule>
  </conditionalFormatting>
  <conditionalFormatting sqref="K5 K30:K34 K36:K57 K59:K61 K64:K67 K73:K90">
    <cfRule type="expression" dxfId="200" priority="5">
      <formula>K5&gt;$O$2</formula>
    </cfRule>
  </conditionalFormatting>
  <conditionalFormatting sqref="L57">
    <cfRule type="expression" dxfId="199" priority="2">
      <formula>L57&gt;$O$2</formula>
    </cfRule>
  </conditionalFormatting>
  <conditionalFormatting sqref="L67">
    <cfRule type="expression" dxfId="198" priority="3">
      <formula>L67&lt;0</formula>
    </cfRule>
  </conditionalFormatting>
  <dataValidations count="20">
    <dataValidation type="whole" allowBlank="1" showInputMessage="1" showErrorMessage="1" error="Must be a negative number no less than a 50% of the base hits" sqref="B11" xr:uid="{97F15C39-FCAF-45EC-8A0F-164AA1C7B06F}">
      <formula1>-J4/2</formula1>
      <formula2>0</formula2>
    </dataValidation>
    <dataValidation type="whole" allowBlank="1" showInputMessage="1" showErrorMessage="1" error="Must be whole number. No more than 50% of slots may be used for Resiliency" sqref="B10" xr:uid="{392CA122-11DB-4196-995D-33F498908763}">
      <formula1>0</formula1>
      <formula2>E4/2</formula2>
    </dataValidation>
    <dataValidation type="whole" allowBlank="1" showInputMessage="1" showErrorMessage="1" sqref="E11" xr:uid="{07246815-4F86-4107-812E-D1372E3FDB44}">
      <formula1>0</formula1>
      <formula2>J4/2</formula2>
    </dataValidation>
    <dataValidation type="list" allowBlank="1" showInputMessage="1" showErrorMessage="1" error="Maximum = 3" sqref="B9" xr:uid="{031F54A7-7D50-47D1-B8AC-0A008FCD2036}">
      <formula1>"0,1,2,3"</formula1>
    </dataValidation>
    <dataValidation type="list" allowBlank="1" showInputMessage="1" showErrorMessage="1" sqref="B4" xr:uid="{B5A51F8A-991D-4AF1-98AD-64AC46392E46}">
      <formula1>"0,1,2,3,4,5,6,7,8"</formula1>
    </dataValidation>
    <dataValidation type="list" allowBlank="1" showInputMessage="1" showErrorMessage="1" sqref="O2" xr:uid="{B47282A9-6868-42F1-8E9F-D7A2EC36AE0F}">
      <formula1>"7,8,9,10,11,12,13,14,15,16,17,18"</formula1>
    </dataValidation>
    <dataValidation type="whole" allowBlank="1" showInputMessage="1" showErrorMessage="1" error="Max Manipulator Size = Chassis Size +2_x000a_Min Manipulator Size = 0_x000a_Whole Numbers Only" sqref="B19:B26" xr:uid="{F29148E1-32B8-4485-8FDF-F21A60B3A344}">
      <formula1>0</formula1>
      <formula2>$B$4+2</formula2>
    </dataValidation>
    <dataValidation type="list" allowBlank="1" showInputMessage="1" showErrorMessage="1" sqref="B27:B28 B67 B8" xr:uid="{CF8C49BE-0BAC-45F9-8800-6128617C8F0C}">
      <formula1>"TRUE,FALSE"</formula1>
    </dataValidation>
    <dataValidation type="list" allowBlank="1" showInputMessage="1" showErrorMessage="1" sqref="B13" xr:uid="{7C9D9838-7062-4B52-BA48-7AAE6FFB3A3B}">
      <formula1>"0,1,2,3,4"</formula1>
    </dataValidation>
    <dataValidation type="list" allowBlank="1" showInputMessage="1" showErrorMessage="1" sqref="D73:D90 B66" xr:uid="{58A84B92-DBF1-4AE9-B594-ED84EDEDBF8B}">
      <formula1>"0,1,2,3"</formula1>
    </dataValidation>
    <dataValidation type="list" allowBlank="1" showInputMessage="1" showErrorMessage="1" sqref="B15" xr:uid="{627801B6-CCF5-4EA8-B7E3-E585313D348E}">
      <formula1>"FALSE,TRUE"</formula1>
    </dataValidation>
    <dataValidation type="list" allowBlank="1" showInputMessage="1" showErrorMessage="1" sqref="B16" xr:uid="{BD4271A0-2DDA-429B-9A86-6591B5B590BB}">
      <formula1>"No,1X,2X,3X"</formula1>
    </dataValidation>
    <dataValidation type="whole" allowBlank="1" showInputMessage="1" showErrorMessage="1" error="Must be whole number between -6 and +12" sqref="B14" xr:uid="{C3590711-5A62-44B3-B514-747A226A1A70}">
      <formula1>-6</formula1>
      <formula2>12</formula2>
    </dataValidation>
    <dataValidation type="whole" allowBlank="1" showInputMessage="1" showErrorMessage="1" sqref="C11:D11" xr:uid="{D1A2A5AE-E90A-4D4D-8053-01EDFCFC0207}">
      <formula1>0</formula1>
      <formula2>D4/2</formula2>
    </dataValidation>
    <dataValidation type="whole" allowBlank="1" showInputMessage="1" showErrorMessage="1" sqref="C13:D13" xr:uid="{47545405-8FC5-480D-B033-19143E7ED349}">
      <formula1>0</formula1>
      <formula2>D5/2</formula2>
    </dataValidation>
    <dataValidation type="whole" allowBlank="1" showInputMessage="1" showErrorMessage="1" sqref="C14:D14" xr:uid="{C0658EBA-79F5-4003-B248-9EDAF50DD9B7}">
      <formula1>0</formula1>
      <formula2>D15/2</formula2>
    </dataValidation>
    <dataValidation type="whole" allowBlank="1" showInputMessage="1" showErrorMessage="1" sqref="E13:E14" xr:uid="{71438C35-9468-4A0D-A446-96ADFB82A4F7}">
      <formula1>0</formula1>
      <formula2>#REF!/2</formula2>
    </dataValidation>
    <dataValidation type="whole" allowBlank="1" showInputMessage="1" showErrorMessage="1" error="Max STR = Lesser of Size + TL or SIZE X 4" sqref="G19:G28" xr:uid="{47CC650E-BBFF-421A-A6A6-ACD83224E486}">
      <formula1>0</formula1>
      <formula2>F19-C19</formula2>
    </dataValidation>
    <dataValidation type="whole" allowBlank="1" showInputMessage="1" showErrorMessage="1" error="Max DEX = TL+3" sqref="K19:K28" xr:uid="{848F0068-CBAC-4B1D-9D82-38043260388E}">
      <formula1>0</formula1>
      <formula2>J19-D19</formula2>
    </dataValidation>
    <dataValidation type="whole" allowBlank="1" showInputMessage="1" showErrorMessage="1" error="Total Armour cannot exceed Maximum" sqref="B7" xr:uid="{A8E5D7C8-E517-4032-8809-E7BB9F57D470}">
      <formula1>-1</formula1>
      <formula2>L7-MID(A7,18,1)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56BB3AB-C9E3-404A-A348-97A429AB7CAB}">
          <x14:formula1>
            <xm:f>Brains!$B$3:$B$19</xm:f>
          </x14:formula1>
          <xm:sqref>B64</xm:sqref>
        </x14:dataValidation>
        <x14:dataValidation type="list" allowBlank="1" showInputMessage="1" showErrorMessage="1" xr:uid="{691DD72B-A047-4EF6-A9E9-65128E92F6C9}">
          <x14:formula1>
            <xm:f>Brains!$K$3:$K$16</xm:f>
          </x14:formula1>
          <xm:sqref>B65</xm:sqref>
        </x14:dataValidation>
        <x14:dataValidation type="list" allowBlank="1" showInputMessage="1" showErrorMessage="1" xr:uid="{441DDF4C-A7AB-4726-ADB7-4C446912B0A7}">
          <x14:formula1>
            <xm:f>Packages!$B$29:$B$68</xm:f>
          </x14:formula1>
          <xm:sqref>A73:A90</xm:sqref>
        </x14:dataValidation>
        <x14:dataValidation type="list" allowBlank="1" showInputMessage="1" showErrorMessage="1" xr:uid="{6915A8EF-05B7-4825-AA47-6DA2227DB2BE}">
          <x14:formula1>
            <xm:f>Options!$C$9:$C$251</xm:f>
          </x14:formula1>
          <xm:sqref>A36:A56</xm:sqref>
        </x14:dataValidation>
        <x14:dataValidation type="list" allowBlank="1" showInputMessage="1" showErrorMessage="1" xr:uid="{0D27D7E0-FF86-4CAA-8B03-31334211638B}">
          <x14:formula1>
            <xm:f>Options!$C$9:$C$71</xm:f>
          </x14:formula1>
          <xm:sqref>A30:A34</xm:sqref>
        </x14:dataValidation>
        <x14:dataValidation type="list" allowBlank="1" showInputMessage="1" showErrorMessage="1" xr:uid="{979FDEA7-0302-419C-AF78-002A2740E38D}">
          <x14:formula1>
            <xm:f>Chassis!$H$3:$H$13</xm:f>
          </x14:formula1>
          <xm:sqref>B17 B5</xm:sqref>
        </x14:dataValidation>
        <x14:dataValidation type="list" allowBlank="1" showInputMessage="1" showErrorMessage="1" xr:uid="{C38A86C5-E858-4A66-A315-C653266CEBFC}">
          <x14:formula1>
            <xm:f>Packages!$B$11:$B$19</xm:f>
          </x14:formula1>
          <xm:sqref>B70</xm:sqref>
        </x14:dataValidation>
        <x14:dataValidation type="list" allowBlank="1" showInputMessage="1" showErrorMessage="1" xr:uid="{32060B14-F3DC-4A3F-B716-F6E671D29989}">
          <x14:formula1>
            <xm:f>Packages!$B$3:$B$7</xm:f>
          </x14:formula1>
          <xm:sqref>B69</xm:sqref>
        </x14:dataValidation>
        <x14:dataValidation type="list" allowBlank="1" showInputMessage="1" showErrorMessage="1" xr:uid="{F026AF37-5C82-4E72-899F-776F10E3BBBA}">
          <x14:formula1>
            <xm:f>Packages!$B$23:$B$25</xm:f>
          </x14:formula1>
          <xm:sqref>B71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0247-E345-47FA-809D-2A1F4C88ADA3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821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57900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4</v>
      </c>
      <c r="E4" s="114">
        <f>_xlfn.XLOOKUP(B4,Size[Size],Size[Base Slots],,,)</f>
        <v>8</v>
      </c>
      <c r="F4" s="37">
        <f>B4+O2</f>
        <v>16</v>
      </c>
      <c r="G4" s="168" t="s">
        <v>299</v>
      </c>
      <c r="H4" s="168"/>
      <c r="I4" s="169"/>
      <c r="J4" s="108">
        <f>_xlfn.XLOOKUP(B4,Size[Size],Size[Base hits],,,)</f>
        <v>12</v>
      </c>
      <c r="K4" s="170" t="s">
        <v>727</v>
      </c>
      <c r="L4" s="171"/>
      <c r="M4" s="52">
        <f>_xlfn.XLOOKUP(B4,Size[Size],Size[Basic Cost],,,)</f>
        <v>800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(-1), </v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8000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Improved Admin Droid</v>
      </c>
      <c r="S6" s="143">
        <f>M11</f>
        <v>12</v>
      </c>
      <c r="T6" s="143" t="str">
        <f>B5</f>
        <v>Walker</v>
      </c>
      <c r="U6" s="143" t="str">
        <f>_xlfn.CONCAT(J14," m")</f>
        <v>5 m</v>
      </c>
      <c r="V6" s="144">
        <f>O2</f>
        <v>12</v>
      </c>
      <c r="W6" s="147">
        <f>P91</f>
        <v>64350</v>
      </c>
      <c r="X6" s="151">
        <f>IF(I2="Standard Design",0.1,0)</f>
        <v>0.1</v>
      </c>
      <c r="Y6" s="152">
        <v>2</v>
      </c>
      <c r="Z6" s="147">
        <f>FLOOR(P91*(1-X6),100)</f>
        <v>57900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40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Admin 2, Advocate 2, Diplomat 1, Persuade 2,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108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-1</v>
      </c>
      <c r="F9" s="37"/>
      <c r="G9" s="179" t="s">
        <v>302</v>
      </c>
      <c r="H9" s="179"/>
      <c r="I9" s="180"/>
      <c r="J9" s="51">
        <f>J8*(1+B9)</f>
        <v>216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500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7)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12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216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Small (-1), (idle),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216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(improved), Visual Spectrum Sensor, Voder Speaker, Wireless Data Link, Drone Interface, Quick Charger, Storage Compartment (standard), Vacuum Environment Protection, , , , 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7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15</v>
      </c>
      <c r="K19" s="16"/>
      <c r="L19" s="60">
        <f t="shared" ref="L19:L28" si="5">D19+K19</f>
        <v>7</v>
      </c>
      <c r="M19" s="61">
        <f>IF(L19&gt;20,5,IF(L19&gt;17,4,IF(L19&gt;14,3,IF(L19&gt;11,2,IF(L19&gt;8,1,IF(L19&gt;5,0,IF(L19&gt;2,-1,-2)))))))</f>
        <v>0</v>
      </c>
      <c r="O19" s="12" t="str">
        <f>IF(I19&gt;0,_xlfn.CONCAT("Athletics (strength) ",I19,", "),"")</f>
        <v/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6">IF(B20=0,0,ROUNDUP($O$2/2+1,0))</f>
        <v>7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15</v>
      </c>
      <c r="K20" s="16"/>
      <c r="L20" s="6">
        <f t="shared" si="5"/>
        <v>7</v>
      </c>
      <c r="M20" s="61">
        <f t="shared" ref="M20:M28" si="7">IF(L20&gt;20,5,IF(L20&gt;17,4,IF(L20&gt;14,3,IF(L20&gt;11,2,IF(L20&gt;8,1,IF(L20&gt;5,0,IF(L20&gt;2,-1,-2)))))))</f>
        <v>0</v>
      </c>
      <c r="O20" s="12" t="str">
        <f t="shared" ref="O20:O28" si="8">IF(I20&gt;0,_xlfn.CONCAT("Athletics (strength) ",I20,", "),"")</f>
        <v/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15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15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15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15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15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15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15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15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464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8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641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1 hour recharge</v>
      </c>
      <c r="I37" s="194"/>
      <c r="J37" s="194"/>
      <c r="K37" s="43">
        <f>_xlfn.XLOOKUP(A37,OptionsTable[Name],OptionsTable[TL],,,)</f>
        <v>8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200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471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-5</v>
      </c>
      <c r="F38" s="37">
        <f>IF(_xlfn.XLOOKUP(A38,OptionsTable[Name],OptionsTable[xS],,,)=FALSE,1,IF($B$4&gt;0,$E$4,1))</f>
        <v>1</v>
      </c>
      <c r="G38" s="57">
        <v>5</v>
      </c>
      <c r="H38" s="193" t="str">
        <f>IF(_xlfn.XLOOKUP(A38,OptionsTable[Name],OptionsTable[Notes],,,)="","",_xlfn.XLOOKUP(A38,OptionsTable[Name],OptionsTable[Notes],,,))</f>
        <v>2 kg or litres / slot</v>
      </c>
      <c r="I38" s="194"/>
      <c r="J38" s="194"/>
      <c r="K38" s="43">
        <f>_xlfn.XLOOKUP(A38,OptionsTable[Name],OptionsTable[TL],,,)</f>
        <v>6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250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100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8</v>
      </c>
      <c r="G39" s="57"/>
      <c r="H39" s="193" t="str">
        <f>IF(_xlfn.XLOOKUP(A39,OptionsTable[Name],OptionsTable[Notes],,,)="","",_xlfn.XLOOKUP(A39,OptionsTable[Name],OptionsTable[Notes],,,))</f>
        <v>+ Hostile env</v>
      </c>
      <c r="I39" s="194"/>
      <c r="J39" s="194"/>
      <c r="K39" s="43">
        <f>_xlfn.XLOOKUP(A39,OptionsTable[Name],OptionsTable[TL],,,)</f>
        <v>6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4800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/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0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0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80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8</v>
      </c>
      <c r="I64" s="31">
        <f>IF(H64&gt;17,4,IF(H64&gt;14,3,IF(H64&gt;11,2,IF(H64&gt;8,1,IF(H64&gt;5,0,IF(H64&gt;2,-1,-2))))))</f>
        <v>0</v>
      </c>
      <c r="J64" s="1">
        <f>_xlfn.XLOOKUP(B64,Brains[Programming/Control],Brains[Computer/X],,,)</f>
        <v>2</v>
      </c>
      <c r="K64" s="43">
        <f>_xlfn.XLOOKUP(B64,Brains[Programming/Control],Brains[TL],,,)</f>
        <v>12</v>
      </c>
      <c r="L64">
        <f>_xlfn.XLOOKUP(B64,Brains[Programming/Control],Brains[Computer/X],,,)</f>
        <v>2</v>
      </c>
      <c r="M64" s="12" t="str">
        <f>_xlfn.XLOOKUP(B64,Brains[Programming/Control],Brains[Base capability (built-in no bandwidth, cumulative)],,,)</f>
        <v>Intelligent Interface, Expert/1, Security/1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159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12</v>
      </c>
      <c r="L65">
        <f>_xlfn.XLOOKUP(B65,Bandwidth[Minimum Base Brain],Bandwidth[Bandwidth],,,)+L64</f>
        <v>6</v>
      </c>
      <c r="M65" t="s">
        <v>310</v>
      </c>
      <c r="P65" s="136">
        <f>_xlfn.XLOOKUP(B65,Bandwidth[Minimum Base Brain],Bandwidth[Cost],,,)</f>
        <v>20000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1</v>
      </c>
      <c r="E66" s="39"/>
      <c r="F66" s="37" cm="1">
        <f t="array" ref="F66">_xlfn.IFS(B66=0,0,B66=1,-1,B66=2,-3,B66=3,-6)</f>
        <v>-1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5</v>
      </c>
      <c r="M66" t="s">
        <v>310</v>
      </c>
      <c r="P66" s="136" cm="1">
        <f t="array" ref="P66">_xlfn.IFS(B66=0,0,B66=1,(H64+1)*1000,B66=2,(H64+1)*(H64+2)*1000,B66=3,(H64+1)*(H64+2)*(H64+3)*1000)*IF(H66&gt;11,2,1)</f>
        <v>9000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2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115</v>
      </c>
      <c r="B73" s="225"/>
      <c r="C73" s="226"/>
      <c r="D73" s="57">
        <v>1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1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9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Admin 2,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1000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118</v>
      </c>
      <c r="B74" s="193"/>
      <c r="C74" s="227"/>
      <c r="D74" s="57">
        <v>1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1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11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Advocate 2,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5000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124</v>
      </c>
      <c r="B75" s="193"/>
      <c r="C75" s="227"/>
      <c r="D75" s="57">
        <v>0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1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Diplomat 1,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500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134</v>
      </c>
      <c r="B76" s="193"/>
      <c r="C76" s="227"/>
      <c r="D76" s="57">
        <v>1</v>
      </c>
      <c r="E76" s="39"/>
      <c r="G76" s="59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>2</v>
      </c>
      <c r="I76" s="58" t="str">
        <f>_xlfn.XLOOKUP(A76,StandardBrain[Name],StandardBrain[Characteristic],,,)</f>
        <v>INT</v>
      </c>
      <c r="K76" s="43">
        <f>_xlfn.XLOOKUP(A76,StandardBrain[Name],StandardBrain[TL],,,)+D76</f>
        <v>12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 xml:space="preserve">Persuade 2, </v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5000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64350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57900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39">
    <sortCondition ref="A36:A39"/>
  </sortState>
  <dataConsolidate/>
  <mergeCells count="114">
    <mergeCell ref="B90:C90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1:D71"/>
    <mergeCell ref="B73:C73"/>
    <mergeCell ref="B74:C74"/>
    <mergeCell ref="B75:C75"/>
    <mergeCell ref="B76:C76"/>
    <mergeCell ref="B77:C77"/>
    <mergeCell ref="A61:D61"/>
    <mergeCell ref="H61:I61"/>
    <mergeCell ref="B64:D64"/>
    <mergeCell ref="B65:D65"/>
    <mergeCell ref="B69:D69"/>
    <mergeCell ref="B70:D70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A37:D37"/>
    <mergeCell ref="H37:J37"/>
    <mergeCell ref="A38:D38"/>
    <mergeCell ref="H38:J38"/>
    <mergeCell ref="A45:D45"/>
    <mergeCell ref="H45:J45"/>
    <mergeCell ref="A46:D46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H32:J32"/>
    <mergeCell ref="A33:D33"/>
    <mergeCell ref="H33:J33"/>
    <mergeCell ref="A34:D34"/>
    <mergeCell ref="H34:J34"/>
    <mergeCell ref="H35:J35"/>
    <mergeCell ref="R14:R18"/>
    <mergeCell ref="S14:Z18"/>
    <mergeCell ref="R21:Z76"/>
    <mergeCell ref="B29:D29"/>
    <mergeCell ref="H29:J29"/>
    <mergeCell ref="A30:D30"/>
    <mergeCell ref="H30:J30"/>
    <mergeCell ref="A31:D31"/>
    <mergeCell ref="H31:J31"/>
    <mergeCell ref="A32:D32"/>
    <mergeCell ref="A39:D39"/>
    <mergeCell ref="H39:J39"/>
    <mergeCell ref="A40:D40"/>
    <mergeCell ref="H40:J40"/>
    <mergeCell ref="A41:D41"/>
    <mergeCell ref="H41:J41"/>
    <mergeCell ref="A36:D36"/>
    <mergeCell ref="H36:J36"/>
    <mergeCell ref="G11:H11"/>
    <mergeCell ref="K11:L11"/>
    <mergeCell ref="S11:Z11"/>
    <mergeCell ref="G12:O12"/>
    <mergeCell ref="S12:Z12"/>
    <mergeCell ref="S13:Z13"/>
    <mergeCell ref="G9:I9"/>
    <mergeCell ref="K9:M9"/>
    <mergeCell ref="S9:Z9"/>
    <mergeCell ref="G10:H10"/>
    <mergeCell ref="K10:M10"/>
    <mergeCell ref="S10:Z10"/>
    <mergeCell ref="G5:I5"/>
    <mergeCell ref="H6:N6"/>
    <mergeCell ref="G7:I7"/>
    <mergeCell ref="R7:R8"/>
    <mergeCell ref="S7:Z8"/>
    <mergeCell ref="G8:I8"/>
    <mergeCell ref="K8:M8"/>
    <mergeCell ref="B2:D2"/>
    <mergeCell ref="F2:H2"/>
    <mergeCell ref="I2:M2"/>
    <mergeCell ref="G3:J3"/>
    <mergeCell ref="G4:I4"/>
    <mergeCell ref="K4:L4"/>
  </mergeCells>
  <conditionalFormatting sqref="B14">
    <cfRule type="expression" dxfId="197" priority="6">
      <formula>ABS($J$14-6) &gt; 6</formula>
    </cfRule>
  </conditionalFormatting>
  <conditionalFormatting sqref="E2">
    <cfRule type="expression" dxfId="196" priority="4">
      <formula>$E$2&lt;0</formula>
    </cfRule>
  </conditionalFormatting>
  <conditionalFormatting sqref="E15:E17">
    <cfRule type="expression" dxfId="195" priority="1">
      <formula>AND($B$4=0,E15&lt;0)</formula>
    </cfRule>
  </conditionalFormatting>
  <conditionalFormatting sqref="K5 K30:K34 K36:K57 K59:K61 K64:K67 K73:K90">
    <cfRule type="expression" dxfId="194" priority="5">
      <formula>K5&gt;$O$2</formula>
    </cfRule>
  </conditionalFormatting>
  <conditionalFormatting sqref="L57">
    <cfRule type="expression" dxfId="193" priority="2">
      <formula>L57&gt;$O$2</formula>
    </cfRule>
  </conditionalFormatting>
  <conditionalFormatting sqref="L67">
    <cfRule type="expression" dxfId="192" priority="3">
      <formula>L67&lt;0</formula>
    </cfRule>
  </conditionalFormatting>
  <dataValidations count="20">
    <dataValidation type="whole" allowBlank="1" showInputMessage="1" showErrorMessage="1" error="Total Armour cannot exceed Maximum" sqref="B7" xr:uid="{7077A18C-9544-4BB1-9C2A-2770A917324A}">
      <formula1>-1</formula1>
      <formula2>L7-MID(A7,18,1)</formula2>
    </dataValidation>
    <dataValidation type="whole" allowBlank="1" showInputMessage="1" showErrorMessage="1" error="Max DEX = TL+3" sqref="K19:K28" xr:uid="{2928A249-289F-495F-8FE4-6EE599F6F7E6}">
      <formula1>0</formula1>
      <formula2>J19-D19</formula2>
    </dataValidation>
    <dataValidation type="whole" allowBlank="1" showInputMessage="1" showErrorMessage="1" error="Max STR = Lesser of Size + TL or SIZE X 4" sqref="G19:G28" xr:uid="{07629414-7804-4B4A-9285-674A9264DDEC}">
      <formula1>0</formula1>
      <formula2>F19-C19</formula2>
    </dataValidation>
    <dataValidation type="whole" allowBlank="1" showInputMessage="1" showErrorMessage="1" sqref="E13:E14" xr:uid="{D307EB14-EAAB-4179-897F-DD972EE8F33D}">
      <formula1>0</formula1>
      <formula2>#REF!/2</formula2>
    </dataValidation>
    <dataValidation type="whole" allowBlank="1" showInputMessage="1" showErrorMessage="1" sqref="C14:D14" xr:uid="{65768089-CC2C-4536-B827-C911D3C69D6C}">
      <formula1>0</formula1>
      <formula2>D15/2</formula2>
    </dataValidation>
    <dataValidation type="whole" allowBlank="1" showInputMessage="1" showErrorMessage="1" sqref="C13:D13" xr:uid="{D878A62F-A63D-49B9-AE50-316018D6412F}">
      <formula1>0</formula1>
      <formula2>D5/2</formula2>
    </dataValidation>
    <dataValidation type="whole" allowBlank="1" showInputMessage="1" showErrorMessage="1" sqref="C11:D11" xr:uid="{BE39A141-8EF5-4E4C-B220-AA80278B7AD8}">
      <formula1>0</formula1>
      <formula2>D4/2</formula2>
    </dataValidation>
    <dataValidation type="whole" allowBlank="1" showInputMessage="1" showErrorMessage="1" error="Must be whole number between -6 and +12" sqref="B14" xr:uid="{CE6674AB-9061-4451-AA81-BC08426A0803}">
      <formula1>-6</formula1>
      <formula2>12</formula2>
    </dataValidation>
    <dataValidation type="list" allowBlank="1" showInputMessage="1" showErrorMessage="1" sqref="B16" xr:uid="{48BC5231-5AED-491A-A2AF-5BEA53AB771D}">
      <formula1>"No,1X,2X,3X"</formula1>
    </dataValidation>
    <dataValidation type="list" allowBlank="1" showInputMessage="1" showErrorMessage="1" sqref="B15" xr:uid="{DDBD8075-4B44-45F2-83A8-644673230D4A}">
      <formula1>"FALSE,TRUE"</formula1>
    </dataValidation>
    <dataValidation type="list" allowBlank="1" showInputMessage="1" showErrorMessage="1" sqref="D73:D90 B66" xr:uid="{AB91460B-34EC-436A-B802-DC9568ADDE0F}">
      <formula1>"0,1,2,3"</formula1>
    </dataValidation>
    <dataValidation type="list" allowBlank="1" showInputMessage="1" showErrorMessage="1" sqref="B13" xr:uid="{EF76C68F-85DB-4581-A199-F44FDE8DF346}">
      <formula1>"0,1,2,3,4"</formula1>
    </dataValidation>
    <dataValidation type="list" allowBlank="1" showInputMessage="1" showErrorMessage="1" sqref="B27:B28 B67 B8" xr:uid="{AD6F0898-CC6E-4F20-A36A-037F88D2FFA5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5A7519EE-91C5-4F36-BE76-F73BB66FF950}">
      <formula1>0</formula1>
      <formula2>$B$4+2</formula2>
    </dataValidation>
    <dataValidation type="list" allowBlank="1" showInputMessage="1" showErrorMessage="1" sqref="O2" xr:uid="{31B674FE-5B0E-4794-9DA3-526ED070A225}">
      <formula1>"7,8,9,10,11,12,13,14,15,16,17,18"</formula1>
    </dataValidation>
    <dataValidation type="list" allowBlank="1" showInputMessage="1" showErrorMessage="1" sqref="B4" xr:uid="{01121603-1319-4DA7-A743-17B7B2A15DCE}">
      <formula1>"0,1,2,3,4,5,6,7,8"</formula1>
    </dataValidation>
    <dataValidation type="list" allowBlank="1" showInputMessage="1" showErrorMessage="1" error="Maximum = 3" sqref="B9" xr:uid="{E2D0A334-E83D-4BE9-B437-2ADDE6DCC93B}">
      <formula1>"0,1,2,3"</formula1>
    </dataValidation>
    <dataValidation type="whole" allowBlank="1" showInputMessage="1" showErrorMessage="1" sqref="E11" xr:uid="{01997A62-EF10-4CDA-BA5A-DFAA2A20082C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D35BCAEB-28C4-4F5C-8FCA-9E1C3DC183E0}">
      <formula1>0</formula1>
      <formula2>E4/2</formula2>
    </dataValidation>
    <dataValidation type="whole" allowBlank="1" showInputMessage="1" showErrorMessage="1" error="Must be a negative number no less than a 50% of the base hits" sqref="B11" xr:uid="{910D7934-A824-4692-B91B-430B0F0E0C38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881399B-B257-4CBE-98A7-5715CCD229D6}">
          <x14:formula1>
            <xm:f>Packages!$B$23:$B$25</xm:f>
          </x14:formula1>
          <xm:sqref>B71</xm:sqref>
        </x14:dataValidation>
        <x14:dataValidation type="list" allowBlank="1" showInputMessage="1" showErrorMessage="1" xr:uid="{7DAA6C9B-0983-45AB-88CD-D53DA8DDFA51}">
          <x14:formula1>
            <xm:f>Packages!$B$3:$B$7</xm:f>
          </x14:formula1>
          <xm:sqref>B69</xm:sqref>
        </x14:dataValidation>
        <x14:dataValidation type="list" allowBlank="1" showInputMessage="1" showErrorMessage="1" xr:uid="{A384611B-64A3-44F8-8697-C4092DE08C58}">
          <x14:formula1>
            <xm:f>Packages!$B$11:$B$19</xm:f>
          </x14:formula1>
          <xm:sqref>B70</xm:sqref>
        </x14:dataValidation>
        <x14:dataValidation type="list" allowBlank="1" showInputMessage="1" showErrorMessage="1" xr:uid="{22AD6B26-F2FE-424A-9572-545AB257FDCD}">
          <x14:formula1>
            <xm:f>Chassis!$H$3:$H$13</xm:f>
          </x14:formula1>
          <xm:sqref>B17 B5</xm:sqref>
        </x14:dataValidation>
        <x14:dataValidation type="list" allowBlank="1" showInputMessage="1" showErrorMessage="1" xr:uid="{A27EDC4E-3D11-497B-A635-4CADCC2E0D57}">
          <x14:formula1>
            <xm:f>Options!$C$9:$C$71</xm:f>
          </x14:formula1>
          <xm:sqref>A30:A34</xm:sqref>
        </x14:dataValidation>
        <x14:dataValidation type="list" allowBlank="1" showInputMessage="1" showErrorMessage="1" xr:uid="{F5652E5F-FC45-4395-9C89-198736DCCC2E}">
          <x14:formula1>
            <xm:f>Options!$C$9:$C$251</xm:f>
          </x14:formula1>
          <xm:sqref>A36:A56</xm:sqref>
        </x14:dataValidation>
        <x14:dataValidation type="list" allowBlank="1" showInputMessage="1" showErrorMessage="1" xr:uid="{4B7DA2D6-C345-4825-8B0D-40253958A474}">
          <x14:formula1>
            <xm:f>Packages!$B$29:$B$68</xm:f>
          </x14:formula1>
          <xm:sqref>A73:A90</xm:sqref>
        </x14:dataValidation>
        <x14:dataValidation type="list" allowBlank="1" showInputMessage="1" showErrorMessage="1" xr:uid="{43F2C4FC-CAEC-441F-926A-7A8B5225EE1A}">
          <x14:formula1>
            <xm:f>Brains!$K$3:$K$16</xm:f>
          </x14:formula1>
          <xm:sqref>B65</xm:sqref>
        </x14:dataValidation>
        <x14:dataValidation type="list" allowBlank="1" showInputMessage="1" showErrorMessage="1" xr:uid="{5ECD3644-15B5-4440-8EBE-A70B7DE2BEAF}">
          <x14:formula1>
            <xm:f>Brains!$B$3:$B$19</xm:f>
          </x14:formula1>
          <xm:sqref>B64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28316-9BC6-4205-B2C1-18DAD3D8DC40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819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217100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4</v>
      </c>
      <c r="E4" s="114">
        <f>_xlfn.XLOOKUP(B4,Size[Size],Size[Base Slots],,,)</f>
        <v>8</v>
      </c>
      <c r="F4" s="37">
        <f>B4+O2</f>
        <v>19</v>
      </c>
      <c r="G4" s="168" t="s">
        <v>299</v>
      </c>
      <c r="H4" s="168"/>
      <c r="I4" s="169"/>
      <c r="J4" s="108">
        <f>_xlfn.XLOOKUP(B4,Size[Size],Size[Base hits],,,)</f>
        <v>12</v>
      </c>
      <c r="K4" s="170" t="s">
        <v>727</v>
      </c>
      <c r="L4" s="171"/>
      <c r="M4" s="52">
        <f>_xlfn.XLOOKUP(B4,Size[Size],Size[Basic Cost],,,)</f>
        <v>800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(-1), </v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8000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Enhanced Admin Droid</v>
      </c>
      <c r="S6" s="143">
        <f>M11</f>
        <v>12</v>
      </c>
      <c r="T6" s="143" t="str">
        <f>B5</f>
        <v>Walker</v>
      </c>
      <c r="U6" s="143" t="str">
        <f>_xlfn.CONCAT(J14," m")</f>
        <v>5 m</v>
      </c>
      <c r="V6" s="144">
        <f>O2</f>
        <v>15</v>
      </c>
      <c r="W6" s="147">
        <f>P91</f>
        <v>241300</v>
      </c>
      <c r="X6" s="151">
        <f>IF(I2="Standard Design",0.1,0)</f>
        <v>0.1</v>
      </c>
      <c r="Y6" s="152">
        <v>2</v>
      </c>
      <c r="Z6" s="147">
        <f>FLOOR(P91*(1-X6),100)</f>
        <v>217100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Admin 3, Advocate 3, Diplomat 2, Persuade 3,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144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-1</v>
      </c>
      <c r="F9" s="37"/>
      <c r="G9" s="179" t="s">
        <v>302</v>
      </c>
      <c r="H9" s="179"/>
      <c r="I9" s="180"/>
      <c r="J9" s="51">
        <f>J8*(1+B9)</f>
        <v>288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500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9)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12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288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Small (-1), (idle),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Very 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288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>Auditory Sensor, Transceiver 5 km (improved), Visual Spectrum Sensor, Voder Speaker, Wireless Data Link, Drone Interface, Quick Charger, Storage Compartment (standard), Vacuum Environment Protection, , , , , , , , , , , , , , , , , (spare slot)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9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18</v>
      </c>
      <c r="K19" s="16"/>
      <c r="L19" s="60">
        <f t="shared" ref="L19:L28" si="5">D19+K19</f>
        <v>9</v>
      </c>
      <c r="M19" s="61">
        <f>IF(L19&gt;20,5,IF(L19&gt;17,4,IF(L19&gt;14,3,IF(L19&gt;11,2,IF(L19&gt;8,1,IF(L19&gt;5,0,IF(L19&gt;2,-1,-2)))))))</f>
        <v>1</v>
      </c>
      <c r="O19" s="12" t="str">
        <f>IF(I19&gt;0,_xlfn.CONCAT("Athletics (strength) ",I19,", "),"")</f>
        <v/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6">IF(B20=0,0,ROUNDUP($O$2/2+1,0))</f>
        <v>9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18</v>
      </c>
      <c r="K20" s="16"/>
      <c r="L20" s="6">
        <f t="shared" si="5"/>
        <v>9</v>
      </c>
      <c r="M20" s="61">
        <f t="shared" ref="M20:M28" si="7">IF(L20&gt;20,5,IF(L20&gt;17,4,IF(L20&gt;14,3,IF(L20&gt;11,2,IF(L20&gt;8,1,IF(L20&gt;5,0,IF(L20&gt;2,-1,-2)))))))</f>
        <v>1</v>
      </c>
      <c r="O20" s="12" t="str">
        <f t="shared" ref="O20:O28" si="8">IF(I20&gt;0,_xlfn.CONCAT("Athletics (strength) ",I20,", "),"")</f>
        <v/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464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8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641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1 hour recharge</v>
      </c>
      <c r="I37" s="194"/>
      <c r="J37" s="194"/>
      <c r="K37" s="43">
        <f>_xlfn.XLOOKUP(A37,OptionsTable[Name],OptionsTable[TL],,,)</f>
        <v>8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200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471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-4</v>
      </c>
      <c r="F38" s="37">
        <f>IF(_xlfn.XLOOKUP(A38,OptionsTable[Name],OptionsTable[xS],,,)=FALSE,1,IF($B$4&gt;0,$E$4,1))</f>
        <v>1</v>
      </c>
      <c r="G38" s="57">
        <v>4</v>
      </c>
      <c r="H38" s="193" t="str">
        <f>IF(_xlfn.XLOOKUP(A38,OptionsTable[Name],OptionsTable[Notes],,,)="","",_xlfn.XLOOKUP(A38,OptionsTable[Name],OptionsTable[Notes],,,))</f>
        <v>2 kg or litres / slot</v>
      </c>
      <c r="I38" s="194"/>
      <c r="J38" s="194"/>
      <c r="K38" s="43">
        <f>_xlfn.XLOOKUP(A38,OptionsTable[Name],OptionsTable[TL],,,)</f>
        <v>6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200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100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8</v>
      </c>
      <c r="G39" s="57"/>
      <c r="H39" s="193" t="str">
        <f>IF(_xlfn.XLOOKUP(A39,OptionsTable[Name],OptionsTable[Notes],,,)="","",_xlfn.XLOOKUP(A39,OptionsTable[Name],OptionsTable[Notes],,,))</f>
        <v>+ Hostile env</v>
      </c>
      <c r="I39" s="194"/>
      <c r="J39" s="194"/>
      <c r="K39" s="43">
        <f>_xlfn.XLOOKUP(A39,OptionsTable[Name],OptionsTable[TL],,,)</f>
        <v>6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4800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/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0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0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 t="s">
        <v>554</v>
      </c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-1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81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9</v>
      </c>
      <c r="I64" s="31">
        <f>IF(H64&gt;17,4,IF(H64&gt;14,3,IF(H64&gt;11,2,IF(H64&gt;8,1,IF(H64&gt;5,0,IF(H64&gt;2,-1,-2))))))</f>
        <v>1</v>
      </c>
      <c r="J64" s="1">
        <f>_xlfn.XLOOKUP(B64,Brains[Programming/Control],Brains[Computer/X],,,)</f>
        <v>3</v>
      </c>
      <c r="K64" s="43">
        <f>_xlfn.XLOOKUP(B64,Brains[Programming/Control],Brains[TL],,,)</f>
        <v>12</v>
      </c>
      <c r="L64">
        <f>_xlfn.XLOOKUP(B64,Brains[Programming/Control],Brains[Computer/X],,,)</f>
        <v>3</v>
      </c>
      <c r="M64" s="12" t="str">
        <f>_xlfn.XLOOKUP(B64,Brains[Programming/Control],Brains[Base capability (built-in no bandwidth, cumulative)],,,)</f>
        <v>Intellect Interface, Expert/2, Security/2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62500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160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12</v>
      </c>
      <c r="L65">
        <f>_xlfn.XLOOKUP(B65,Bandwidth[Minimum Base Brain],Bandwidth[Bandwidth],,,)+L64</f>
        <v>9</v>
      </c>
      <c r="M65" t="s">
        <v>310</v>
      </c>
      <c r="P65" s="136">
        <f>_xlfn.XLOOKUP(B65,Bandwidth[Minimum Base Brain],Bandwidth[Cost],,,)</f>
        <v>50000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9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3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115</v>
      </c>
      <c r="B73" s="225"/>
      <c r="C73" s="226"/>
      <c r="D73" s="57">
        <v>2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2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10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Admin 3,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10000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118</v>
      </c>
      <c r="B74" s="193"/>
      <c r="C74" s="227"/>
      <c r="D74" s="57">
        <v>2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2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12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Advocate 3,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50000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124</v>
      </c>
      <c r="B75" s="193"/>
      <c r="C75" s="227"/>
      <c r="D75" s="57">
        <v>1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2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11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Diplomat 2,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5000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134</v>
      </c>
      <c r="B76" s="193"/>
      <c r="C76" s="227"/>
      <c r="D76" s="57">
        <v>2</v>
      </c>
      <c r="E76" s="39"/>
      <c r="G76" s="59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>3</v>
      </c>
      <c r="I76" s="58" t="str">
        <f>_xlfn.XLOOKUP(A76,StandardBrain[Name],StandardBrain[Characteristic],,,)</f>
        <v>INT</v>
      </c>
      <c r="K76" s="43">
        <f>_xlfn.XLOOKUP(A76,StandardBrain[Name],StandardBrain[TL],,,)+D76</f>
        <v>13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 xml:space="preserve">Persuade 3, </v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50000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241300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217100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39">
    <sortCondition ref="A36:A39"/>
  </sortState>
  <dataConsolidate/>
  <mergeCells count="114">
    <mergeCell ref="B90:C90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1:D71"/>
    <mergeCell ref="B73:C73"/>
    <mergeCell ref="B74:C74"/>
    <mergeCell ref="B75:C75"/>
    <mergeCell ref="B76:C76"/>
    <mergeCell ref="B77:C77"/>
    <mergeCell ref="A61:D61"/>
    <mergeCell ref="H61:I61"/>
    <mergeCell ref="B64:D64"/>
    <mergeCell ref="B65:D65"/>
    <mergeCell ref="B69:D69"/>
    <mergeCell ref="B70:D70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A37:D37"/>
    <mergeCell ref="H37:J37"/>
    <mergeCell ref="A38:D38"/>
    <mergeCell ref="H38:J38"/>
    <mergeCell ref="A45:D45"/>
    <mergeCell ref="H45:J45"/>
    <mergeCell ref="A46:D46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H32:J32"/>
    <mergeCell ref="A33:D33"/>
    <mergeCell ref="H33:J33"/>
    <mergeCell ref="A34:D34"/>
    <mergeCell ref="H34:J34"/>
    <mergeCell ref="H35:J35"/>
    <mergeCell ref="R14:R18"/>
    <mergeCell ref="S14:Z18"/>
    <mergeCell ref="R21:Z76"/>
    <mergeCell ref="B29:D29"/>
    <mergeCell ref="H29:J29"/>
    <mergeCell ref="A30:D30"/>
    <mergeCell ref="H30:J30"/>
    <mergeCell ref="A31:D31"/>
    <mergeCell ref="H31:J31"/>
    <mergeCell ref="A32:D32"/>
    <mergeCell ref="A39:D39"/>
    <mergeCell ref="H39:J39"/>
    <mergeCell ref="A40:D40"/>
    <mergeCell ref="H40:J40"/>
    <mergeCell ref="A41:D41"/>
    <mergeCell ref="H41:J41"/>
    <mergeCell ref="A36:D36"/>
    <mergeCell ref="H36:J36"/>
    <mergeCell ref="G11:H11"/>
    <mergeCell ref="K11:L11"/>
    <mergeCell ref="S11:Z11"/>
    <mergeCell ref="G12:O12"/>
    <mergeCell ref="S12:Z12"/>
    <mergeCell ref="S13:Z13"/>
    <mergeCell ref="G9:I9"/>
    <mergeCell ref="K9:M9"/>
    <mergeCell ref="S9:Z9"/>
    <mergeCell ref="G10:H10"/>
    <mergeCell ref="K10:M10"/>
    <mergeCell ref="S10:Z10"/>
    <mergeCell ref="G5:I5"/>
    <mergeCell ref="H6:N6"/>
    <mergeCell ref="G7:I7"/>
    <mergeCell ref="R7:R8"/>
    <mergeCell ref="S7:Z8"/>
    <mergeCell ref="G8:I8"/>
    <mergeCell ref="K8:M8"/>
    <mergeCell ref="B2:D2"/>
    <mergeCell ref="F2:H2"/>
    <mergeCell ref="I2:M2"/>
    <mergeCell ref="G3:J3"/>
    <mergeCell ref="G4:I4"/>
    <mergeCell ref="K4:L4"/>
  </mergeCells>
  <conditionalFormatting sqref="B14">
    <cfRule type="expression" dxfId="191" priority="6">
      <formula>ABS($J$14-6) &gt; 6</formula>
    </cfRule>
  </conditionalFormatting>
  <conditionalFormatting sqref="E2">
    <cfRule type="expression" dxfId="190" priority="4">
      <formula>$E$2&lt;0</formula>
    </cfRule>
  </conditionalFormatting>
  <conditionalFormatting sqref="E15:E17">
    <cfRule type="expression" dxfId="189" priority="1">
      <formula>AND($B$4=0,E15&lt;0)</formula>
    </cfRule>
  </conditionalFormatting>
  <conditionalFormatting sqref="K5 K30:K34 K36:K57 K59:K61 K64:K67 K73:K90">
    <cfRule type="expression" dxfId="188" priority="5">
      <formula>K5&gt;$O$2</formula>
    </cfRule>
  </conditionalFormatting>
  <conditionalFormatting sqref="L57">
    <cfRule type="expression" dxfId="187" priority="2">
      <formula>L57&gt;$O$2</formula>
    </cfRule>
  </conditionalFormatting>
  <conditionalFormatting sqref="L67">
    <cfRule type="expression" dxfId="186" priority="3">
      <formula>L67&lt;0</formula>
    </cfRule>
  </conditionalFormatting>
  <dataValidations count="20">
    <dataValidation type="whole" allowBlank="1" showInputMessage="1" showErrorMessage="1" error="Must be a negative number no less than a 50% of the base hits" sqref="B11" xr:uid="{DCA227D5-5A1B-4647-83FC-45DD1E2DCF7D}">
      <formula1>-J4/2</formula1>
      <formula2>0</formula2>
    </dataValidation>
    <dataValidation type="whole" allowBlank="1" showInputMessage="1" showErrorMessage="1" error="Must be whole number. No more than 50% of slots may be used for Resiliency" sqref="B10" xr:uid="{E2D049DF-F581-43CC-A024-CC25205144D6}">
      <formula1>0</formula1>
      <formula2>E4/2</formula2>
    </dataValidation>
    <dataValidation type="whole" allowBlank="1" showInputMessage="1" showErrorMessage="1" sqref="E11" xr:uid="{815F6CD2-AD36-4393-8C42-4472042F57F1}">
      <formula1>0</formula1>
      <formula2>J4/2</formula2>
    </dataValidation>
    <dataValidation type="list" allowBlank="1" showInputMessage="1" showErrorMessage="1" error="Maximum = 3" sqref="B9" xr:uid="{8DD25B2B-1BFC-4723-9847-9F4DCD0D0AA3}">
      <formula1>"0,1,2,3"</formula1>
    </dataValidation>
    <dataValidation type="list" allowBlank="1" showInputMessage="1" showErrorMessage="1" sqref="B4" xr:uid="{F1439CC9-6F52-446A-8E6C-031B227A3027}">
      <formula1>"0,1,2,3,4,5,6,7,8"</formula1>
    </dataValidation>
    <dataValidation type="list" allowBlank="1" showInputMessage="1" showErrorMessage="1" sqref="O2" xr:uid="{005EF51D-2D52-4B96-B76B-DCB9FA1BBB83}">
      <formula1>"7,8,9,10,11,12,13,14,15,16,17,18"</formula1>
    </dataValidation>
    <dataValidation type="whole" allowBlank="1" showInputMessage="1" showErrorMessage="1" error="Max Manipulator Size = Chassis Size +2_x000a_Min Manipulator Size = 0_x000a_Whole Numbers Only" sqref="B19:B26" xr:uid="{F075AB51-B1A0-456E-A227-DF04EDF37190}">
      <formula1>0</formula1>
      <formula2>$B$4+2</formula2>
    </dataValidation>
    <dataValidation type="list" allowBlank="1" showInputMessage="1" showErrorMessage="1" sqref="B27:B28 B67 B8" xr:uid="{F5064603-886B-4788-BDD2-4DEE7026F148}">
      <formula1>"TRUE,FALSE"</formula1>
    </dataValidation>
    <dataValidation type="list" allowBlank="1" showInputMessage="1" showErrorMessage="1" sqref="B13" xr:uid="{1178B904-E086-43EC-9589-C9DD6A11C8E7}">
      <formula1>"0,1,2,3,4"</formula1>
    </dataValidation>
    <dataValidation type="list" allowBlank="1" showInputMessage="1" showErrorMessage="1" sqref="D73:D90 B66" xr:uid="{8EFEA8BF-7657-4C7E-85C8-F1FCDA2C95C1}">
      <formula1>"0,1,2,3"</formula1>
    </dataValidation>
    <dataValidation type="list" allowBlank="1" showInputMessage="1" showErrorMessage="1" sqref="B15" xr:uid="{5437DB84-41B9-400C-BC48-A7FC0B14F604}">
      <formula1>"FALSE,TRUE"</formula1>
    </dataValidation>
    <dataValidation type="list" allowBlank="1" showInputMessage="1" showErrorMessage="1" sqref="B16" xr:uid="{22029C5A-DD0A-4FCD-8E04-E88BFAB24023}">
      <formula1>"No,1X,2X,3X"</formula1>
    </dataValidation>
    <dataValidation type="whole" allowBlank="1" showInputMessage="1" showErrorMessage="1" error="Must be whole number between -6 and +12" sqref="B14" xr:uid="{A00C37E6-D59D-450A-BBE4-78D46E0E37CA}">
      <formula1>-6</formula1>
      <formula2>12</formula2>
    </dataValidation>
    <dataValidation type="whole" allowBlank="1" showInputMessage="1" showErrorMessage="1" sqref="C11:D11" xr:uid="{D42727BC-6B4E-4A70-9102-7B91DCA9CD06}">
      <formula1>0</formula1>
      <formula2>D4/2</formula2>
    </dataValidation>
    <dataValidation type="whole" allowBlank="1" showInputMessage="1" showErrorMessage="1" sqref="C13:D13" xr:uid="{46FBA9CD-7F6E-4672-9D3A-978A29E20071}">
      <formula1>0</formula1>
      <formula2>D5/2</formula2>
    </dataValidation>
    <dataValidation type="whole" allowBlank="1" showInputMessage="1" showErrorMessage="1" sqref="C14:D14" xr:uid="{844ED22C-A1A4-4618-9B9C-66C60FDFAB41}">
      <formula1>0</formula1>
      <formula2>D15/2</formula2>
    </dataValidation>
    <dataValidation type="whole" allowBlank="1" showInputMessage="1" showErrorMessage="1" sqref="E13:E14" xr:uid="{085CAC7D-B605-4E0F-BF2B-7EAEBFB66383}">
      <formula1>0</formula1>
      <formula2>#REF!/2</formula2>
    </dataValidation>
    <dataValidation type="whole" allowBlank="1" showInputMessage="1" showErrorMessage="1" error="Max STR = Lesser of Size + TL or SIZE X 4" sqref="G19:G28" xr:uid="{B883450C-EB44-4331-B87F-82545FF0896A}">
      <formula1>0</formula1>
      <formula2>F19-C19</formula2>
    </dataValidation>
    <dataValidation type="whole" allowBlank="1" showInputMessage="1" showErrorMessage="1" error="Max DEX = TL+3" sqref="K19:K28" xr:uid="{9DE40785-D8DD-4E47-A580-696E73351FE8}">
      <formula1>0</formula1>
      <formula2>J19-D19</formula2>
    </dataValidation>
    <dataValidation type="whole" allowBlank="1" showInputMessage="1" showErrorMessage="1" error="Total Armour cannot exceed Maximum" sqref="B7" xr:uid="{2E15040F-2D27-41A8-80DC-4544BF97C797}">
      <formula1>-1</formula1>
      <formula2>L7-MID(A7,18,1)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E30BE432-721B-4C32-9D30-6A277093C4CD}">
          <x14:formula1>
            <xm:f>Options!$C$9:$C$71</xm:f>
          </x14:formula1>
          <xm:sqref>A30:A34</xm:sqref>
        </x14:dataValidation>
        <x14:dataValidation type="list" allowBlank="1" showInputMessage="1" showErrorMessage="1" xr:uid="{7BE597C2-1019-42C2-962C-815534D2B9A2}">
          <x14:formula1>
            <xm:f>Chassis!$H$3:$H$13</xm:f>
          </x14:formula1>
          <xm:sqref>B17 B5</xm:sqref>
        </x14:dataValidation>
        <x14:dataValidation type="list" allowBlank="1" showInputMessage="1" showErrorMessage="1" xr:uid="{7C63F64D-E836-45E5-AD97-3D390A50241A}">
          <x14:formula1>
            <xm:f>Packages!$B$11:$B$19</xm:f>
          </x14:formula1>
          <xm:sqref>B70</xm:sqref>
        </x14:dataValidation>
        <x14:dataValidation type="list" allowBlank="1" showInputMessage="1" showErrorMessage="1" xr:uid="{9F4B19BD-8690-46CA-A7FF-F32F83B743FE}">
          <x14:formula1>
            <xm:f>Packages!$B$3:$B$7</xm:f>
          </x14:formula1>
          <xm:sqref>B69</xm:sqref>
        </x14:dataValidation>
        <x14:dataValidation type="list" allowBlank="1" showInputMessage="1" showErrorMessage="1" xr:uid="{01C41A95-B246-44F2-8B6C-1529914539E6}">
          <x14:formula1>
            <xm:f>Packages!$B$23:$B$25</xm:f>
          </x14:formula1>
          <xm:sqref>B71</xm:sqref>
        </x14:dataValidation>
        <x14:dataValidation type="list" allowBlank="1" showInputMessage="1" showErrorMessage="1" xr:uid="{D5371774-FE7F-429D-8E15-050A9788233B}">
          <x14:formula1>
            <xm:f>Options!$C$9:$C$251</xm:f>
          </x14:formula1>
          <xm:sqref>A36:A56</xm:sqref>
        </x14:dataValidation>
        <x14:dataValidation type="list" allowBlank="1" showInputMessage="1" showErrorMessage="1" xr:uid="{A2310D9A-EB55-4E5E-9124-942CC2278283}">
          <x14:formula1>
            <xm:f>Packages!$B$29:$B$68</xm:f>
          </x14:formula1>
          <xm:sqref>A73:A90</xm:sqref>
        </x14:dataValidation>
        <x14:dataValidation type="list" allowBlank="1" showInputMessage="1" showErrorMessage="1" xr:uid="{9B21BDD6-75A5-4C1C-BE5B-8F5E2CC9F922}">
          <x14:formula1>
            <xm:f>Brains!$K$3:$K$16</xm:f>
          </x14:formula1>
          <xm:sqref>B65</xm:sqref>
        </x14:dataValidation>
        <x14:dataValidation type="list" allowBlank="1" showInputMessage="1" showErrorMessage="1" xr:uid="{F8995FAC-58F7-4017-8D6A-1A19E49F3C94}">
          <x14:formula1>
            <xm:f>Brains!$B$3:$B$19</xm:f>
          </x14:formula1>
          <xm:sqref>B64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2F54A-FB18-4E8F-BC73-5EBE630EB7E3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805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383600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4</v>
      </c>
      <c r="E4" s="114">
        <f>_xlfn.XLOOKUP(B4,Size[Size],Size[Base Slots],,,)</f>
        <v>8</v>
      </c>
      <c r="F4" s="37">
        <f>B4+O2</f>
        <v>19</v>
      </c>
      <c r="G4" s="168" t="s">
        <v>299</v>
      </c>
      <c r="H4" s="168"/>
      <c r="I4" s="169"/>
      <c r="J4" s="108">
        <f>_xlfn.XLOOKUP(B4,Size[Size],Size[Base hits],,,)</f>
        <v>12</v>
      </c>
      <c r="K4" s="170" t="s">
        <v>727</v>
      </c>
      <c r="L4" s="171"/>
      <c r="M4" s="52">
        <f>_xlfn.XLOOKUP(B4,Size[Size],Size[Basic Cost],,,)</f>
        <v>800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(-1), </v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8000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Advanced Admin Droid</v>
      </c>
      <c r="S6" s="143">
        <f>M11</f>
        <v>12</v>
      </c>
      <c r="T6" s="143" t="str">
        <f>B5</f>
        <v>Walker</v>
      </c>
      <c r="U6" s="143" t="str">
        <f>_xlfn.CONCAT(J14," m")</f>
        <v>5 m</v>
      </c>
      <c r="V6" s="144">
        <f>O2</f>
        <v>15</v>
      </c>
      <c r="W6" s="147">
        <f>P91</f>
        <v>426300</v>
      </c>
      <c r="X6" s="151">
        <f>IF(I2="Standard Design",0.1,0)</f>
        <v>0.1</v>
      </c>
      <c r="Y6" s="152">
        <v>2</v>
      </c>
      <c r="Z6" s="147">
        <f>FLOOR(P91*(1-X6),100)</f>
        <v>383600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Admin 4, Advocate 3, Diplomat 3, Persuade 3,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144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-1</v>
      </c>
      <c r="F9" s="37"/>
      <c r="G9" s="179" t="s">
        <v>302</v>
      </c>
      <c r="H9" s="179"/>
      <c r="I9" s="180"/>
      <c r="J9" s="51">
        <f>J8*(1+B9)</f>
        <v>288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500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9)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12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288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Small (-1), (idle),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Very 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288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>Auditory Sensor, Transceiver 5 km (improved), Visual Spectrum Sensor, Voder Speaker, Wireless Data Link, Drone Interface, Quick Charger, Storage Compartment (standard), Vacuum Environment Protection, , , , , , , , , , , , , , , , , (spare slot)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9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18</v>
      </c>
      <c r="K19" s="16"/>
      <c r="L19" s="60">
        <f t="shared" ref="L19:L28" si="5">D19+K19</f>
        <v>9</v>
      </c>
      <c r="M19" s="61">
        <f>IF(L19&gt;20,5,IF(L19&gt;17,4,IF(L19&gt;14,3,IF(L19&gt;11,2,IF(L19&gt;8,1,IF(L19&gt;5,0,IF(L19&gt;2,-1,-2)))))))</f>
        <v>1</v>
      </c>
      <c r="O19" s="12" t="str">
        <f>IF(I19&gt;0,_xlfn.CONCAT("Athletics (strength) ",I19,", "),"")</f>
        <v/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6">IF(B20=0,0,ROUNDUP($O$2/2+1,0))</f>
        <v>9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18</v>
      </c>
      <c r="K20" s="16"/>
      <c r="L20" s="6">
        <f t="shared" si="5"/>
        <v>9</v>
      </c>
      <c r="M20" s="61">
        <f t="shared" ref="M20:M28" si="7">IF(L20&gt;20,5,IF(L20&gt;17,4,IF(L20&gt;14,3,IF(L20&gt;11,2,IF(L20&gt;8,1,IF(L20&gt;5,0,IF(L20&gt;2,-1,-2)))))))</f>
        <v>1</v>
      </c>
      <c r="O20" s="12" t="str">
        <f t="shared" ref="O20:O28" si="8">IF(I20&gt;0,_xlfn.CONCAT("Athletics (strength) ",I20,", "),"")</f>
        <v/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464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8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641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1 hour recharge</v>
      </c>
      <c r="I37" s="194"/>
      <c r="J37" s="194"/>
      <c r="K37" s="43">
        <f>_xlfn.XLOOKUP(A37,OptionsTable[Name],OptionsTable[TL],,,)</f>
        <v>8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200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471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-4</v>
      </c>
      <c r="F38" s="37">
        <f>IF(_xlfn.XLOOKUP(A38,OptionsTable[Name],OptionsTable[xS],,,)=FALSE,1,IF($B$4&gt;0,$E$4,1))</f>
        <v>1</v>
      </c>
      <c r="G38" s="57">
        <v>4</v>
      </c>
      <c r="H38" s="193" t="str">
        <f>IF(_xlfn.XLOOKUP(A38,OptionsTable[Name],OptionsTable[Notes],,,)="","",_xlfn.XLOOKUP(A38,OptionsTable[Name],OptionsTable[Notes],,,))</f>
        <v>2 kg or litres / slot</v>
      </c>
      <c r="I38" s="194"/>
      <c r="J38" s="194"/>
      <c r="K38" s="43">
        <f>_xlfn.XLOOKUP(A38,OptionsTable[Name],OptionsTable[TL],,,)</f>
        <v>6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200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100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8</v>
      </c>
      <c r="G39" s="57"/>
      <c r="H39" s="193" t="str">
        <f>IF(_xlfn.XLOOKUP(A39,OptionsTable[Name],OptionsTable[Notes],,,)="","",_xlfn.XLOOKUP(A39,OptionsTable[Name],OptionsTable[Notes],,,))</f>
        <v>+ Hostile env</v>
      </c>
      <c r="I39" s="194"/>
      <c r="J39" s="194"/>
      <c r="K39" s="43">
        <f>_xlfn.XLOOKUP(A39,OptionsTable[Name],OptionsTable[TL],,,)</f>
        <v>6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4800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/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0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0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 t="s">
        <v>554</v>
      </c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-1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81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9</v>
      </c>
      <c r="I64" s="31">
        <f>IF(H64&gt;17,4,IF(H64&gt;14,3,IF(H64&gt;11,2,IF(H64&gt;8,1,IF(H64&gt;5,0,IF(H64&gt;2,-1,-2))))))</f>
        <v>1</v>
      </c>
      <c r="J64" s="1">
        <f>_xlfn.XLOOKUP(B64,Brains[Programming/Control],Brains[Computer/X],,,)</f>
        <v>3</v>
      </c>
      <c r="K64" s="43">
        <f>_xlfn.XLOOKUP(B64,Brains[Programming/Control],Brains[TL],,,)</f>
        <v>12</v>
      </c>
      <c r="L64">
        <f>_xlfn.XLOOKUP(B64,Brains[Programming/Control],Brains[Computer/X],,,)</f>
        <v>3</v>
      </c>
      <c r="M64" s="12" t="str">
        <f>_xlfn.XLOOKUP(B64,Brains[Programming/Control],Brains[Base capability (built-in no bandwidth, cumulative)],,,)</f>
        <v>Intellect Interface, Expert/2, Security/2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62500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168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12</v>
      </c>
      <c r="L65">
        <f>_xlfn.XLOOKUP(B65,Bandwidth[Minimum Base Brain],Bandwidth[Bandwidth],,,)+L64</f>
        <v>11</v>
      </c>
      <c r="M65" t="s">
        <v>310</v>
      </c>
      <c r="P65" s="136">
        <f>_xlfn.XLOOKUP(B65,Bandwidth[Minimum Base Brain],Bandwidth[Cost],,,)</f>
        <v>100000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11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3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115</v>
      </c>
      <c r="B73" s="225"/>
      <c r="C73" s="226"/>
      <c r="D73" s="57">
        <v>3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3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11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Admin 4,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100000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118</v>
      </c>
      <c r="B74" s="193"/>
      <c r="C74" s="227"/>
      <c r="D74" s="57">
        <v>2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2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12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Advocate 3,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50000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124</v>
      </c>
      <c r="B75" s="193"/>
      <c r="C75" s="227"/>
      <c r="D75" s="57">
        <v>2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3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12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Diplomat 3,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50000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134</v>
      </c>
      <c r="B76" s="193"/>
      <c r="C76" s="227"/>
      <c r="D76" s="57">
        <v>2</v>
      </c>
      <c r="E76" s="39"/>
      <c r="G76" s="59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>3</v>
      </c>
      <c r="I76" s="58" t="str">
        <f>_xlfn.XLOOKUP(A76,StandardBrain[Name],StandardBrain[Characteristic],,,)</f>
        <v>INT</v>
      </c>
      <c r="K76" s="43">
        <f>_xlfn.XLOOKUP(A76,StandardBrain[Name],StandardBrain[TL],,,)+D76</f>
        <v>13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 xml:space="preserve">Persuade 3, </v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50000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426300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383600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dataConsolidate/>
  <mergeCells count="114">
    <mergeCell ref="B90:C90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1:D71"/>
    <mergeCell ref="B73:C73"/>
    <mergeCell ref="B74:C74"/>
    <mergeCell ref="B75:C75"/>
    <mergeCell ref="B76:C76"/>
    <mergeCell ref="B77:C77"/>
    <mergeCell ref="A61:D61"/>
    <mergeCell ref="H61:I61"/>
    <mergeCell ref="B64:D64"/>
    <mergeCell ref="B65:D65"/>
    <mergeCell ref="B69:D69"/>
    <mergeCell ref="B70:D70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A37:D37"/>
    <mergeCell ref="H37:J37"/>
    <mergeCell ref="A38:D38"/>
    <mergeCell ref="H38:J38"/>
    <mergeCell ref="A45:D45"/>
    <mergeCell ref="H45:J45"/>
    <mergeCell ref="A46:D46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H32:J32"/>
    <mergeCell ref="A33:D33"/>
    <mergeCell ref="H33:J33"/>
    <mergeCell ref="A34:D34"/>
    <mergeCell ref="H34:J34"/>
    <mergeCell ref="H35:J35"/>
    <mergeCell ref="R14:R18"/>
    <mergeCell ref="S14:Z18"/>
    <mergeCell ref="R21:Z76"/>
    <mergeCell ref="B29:D29"/>
    <mergeCell ref="H29:J29"/>
    <mergeCell ref="A30:D30"/>
    <mergeCell ref="H30:J30"/>
    <mergeCell ref="A31:D31"/>
    <mergeCell ref="H31:J31"/>
    <mergeCell ref="A32:D32"/>
    <mergeCell ref="A39:D39"/>
    <mergeCell ref="H39:J39"/>
    <mergeCell ref="A40:D40"/>
    <mergeCell ref="H40:J40"/>
    <mergeCell ref="A41:D41"/>
    <mergeCell ref="H41:J41"/>
    <mergeCell ref="A36:D36"/>
    <mergeCell ref="H36:J36"/>
    <mergeCell ref="G11:H11"/>
    <mergeCell ref="K11:L11"/>
    <mergeCell ref="S11:Z11"/>
    <mergeCell ref="G12:O12"/>
    <mergeCell ref="S12:Z12"/>
    <mergeCell ref="S13:Z13"/>
    <mergeCell ref="G9:I9"/>
    <mergeCell ref="K9:M9"/>
    <mergeCell ref="S9:Z9"/>
    <mergeCell ref="G10:H10"/>
    <mergeCell ref="K10:M10"/>
    <mergeCell ref="S10:Z10"/>
    <mergeCell ref="G5:I5"/>
    <mergeCell ref="H6:N6"/>
    <mergeCell ref="G7:I7"/>
    <mergeCell ref="R7:R8"/>
    <mergeCell ref="S7:Z8"/>
    <mergeCell ref="G8:I8"/>
    <mergeCell ref="K8:M8"/>
    <mergeCell ref="B2:D2"/>
    <mergeCell ref="F2:H2"/>
    <mergeCell ref="I2:M2"/>
    <mergeCell ref="G3:J3"/>
    <mergeCell ref="G4:I4"/>
    <mergeCell ref="K4:L4"/>
  </mergeCells>
  <conditionalFormatting sqref="B14">
    <cfRule type="expression" dxfId="185" priority="6">
      <formula>ABS($J$14-6) &gt; 6</formula>
    </cfRule>
  </conditionalFormatting>
  <conditionalFormatting sqref="E2">
    <cfRule type="expression" dxfId="184" priority="4">
      <formula>$E$2&lt;0</formula>
    </cfRule>
  </conditionalFormatting>
  <conditionalFormatting sqref="E15:E17">
    <cfRule type="expression" dxfId="183" priority="1">
      <formula>AND($B$4=0,E15&lt;0)</formula>
    </cfRule>
  </conditionalFormatting>
  <conditionalFormatting sqref="K5 K30:K34 K36:K57 K59:K61 K64:K67 K73:K90">
    <cfRule type="expression" dxfId="182" priority="5">
      <formula>K5&gt;$O$2</formula>
    </cfRule>
  </conditionalFormatting>
  <conditionalFormatting sqref="L57">
    <cfRule type="expression" dxfId="181" priority="2">
      <formula>L57&gt;$O$2</formula>
    </cfRule>
  </conditionalFormatting>
  <conditionalFormatting sqref="L67">
    <cfRule type="expression" dxfId="180" priority="3">
      <formula>L67&lt;0</formula>
    </cfRule>
  </conditionalFormatting>
  <dataValidations count="20">
    <dataValidation type="whole" allowBlank="1" showInputMessage="1" showErrorMessage="1" error="Total Armour cannot exceed Maximum" sqref="B7" xr:uid="{D9D2E9C9-BF87-4877-AE62-DA636F2C5FB3}">
      <formula1>-1</formula1>
      <formula2>L7-MID(A7,18,1)</formula2>
    </dataValidation>
    <dataValidation type="whole" allowBlank="1" showInputMessage="1" showErrorMessage="1" error="Max DEX = TL+3" sqref="K19:K28" xr:uid="{89845CA0-0AE7-48BE-9507-41943C7A33B1}">
      <formula1>0</formula1>
      <formula2>J19-D19</formula2>
    </dataValidation>
    <dataValidation type="whole" allowBlank="1" showInputMessage="1" showErrorMessage="1" error="Max STR = Lesser of Size + TL or SIZE X 4" sqref="G19:G28" xr:uid="{631B3F10-411F-41CB-833E-06C8CB4AD456}">
      <formula1>0</formula1>
      <formula2>F19-C19</formula2>
    </dataValidation>
    <dataValidation type="whole" allowBlank="1" showInputMessage="1" showErrorMessage="1" sqref="E13:E14" xr:uid="{BC08CE62-6A14-43DA-9191-0474413F5D7F}">
      <formula1>0</formula1>
      <formula2>#REF!/2</formula2>
    </dataValidation>
    <dataValidation type="whole" allowBlank="1" showInputMessage="1" showErrorMessage="1" sqref="C14:D14" xr:uid="{2C080AFB-2FD0-4467-BFAD-236C8D62A1C8}">
      <formula1>0</formula1>
      <formula2>D15/2</formula2>
    </dataValidation>
    <dataValidation type="whole" allowBlank="1" showInputMessage="1" showErrorMessage="1" sqref="C13:D13" xr:uid="{BEDC1658-2467-4F62-850B-938634E623B3}">
      <formula1>0</formula1>
      <formula2>D5/2</formula2>
    </dataValidation>
    <dataValidation type="whole" allowBlank="1" showInputMessage="1" showErrorMessage="1" sqref="C11:D11" xr:uid="{9B0D6440-5839-48C6-B2EF-FB6F853C683D}">
      <formula1>0</formula1>
      <formula2>D4/2</formula2>
    </dataValidation>
    <dataValidation type="whole" allowBlank="1" showInputMessage="1" showErrorMessage="1" error="Must be whole number between -6 and +12" sqref="B14" xr:uid="{4BC77438-55BF-45E0-BA65-F6CBF654B5EF}">
      <formula1>-6</formula1>
      <formula2>12</formula2>
    </dataValidation>
    <dataValidation type="list" allowBlank="1" showInputMessage="1" showErrorMessage="1" sqref="B16" xr:uid="{E3BF9567-AA59-4EEA-82B5-48D65AB43809}">
      <formula1>"No,1X,2X,3X"</formula1>
    </dataValidation>
    <dataValidation type="list" allowBlank="1" showInputMessage="1" showErrorMessage="1" sqref="B15" xr:uid="{98841C6E-85F7-4DD4-BC40-8D355404236D}">
      <formula1>"FALSE,TRUE"</formula1>
    </dataValidation>
    <dataValidation type="list" allowBlank="1" showInputMessage="1" showErrorMessage="1" sqref="D73:D90 B66" xr:uid="{DAA10CB7-2047-4954-8080-46EFEEF2E365}">
      <formula1>"0,1,2,3"</formula1>
    </dataValidation>
    <dataValidation type="list" allowBlank="1" showInputMessage="1" showErrorMessage="1" sqref="B13" xr:uid="{5BBE83CA-B808-43C3-AC2D-8E8075D2FBAB}">
      <formula1>"0,1,2,3,4"</formula1>
    </dataValidation>
    <dataValidation type="list" allowBlank="1" showInputMessage="1" showErrorMessage="1" sqref="B27:B28 B67 B8" xr:uid="{5FBBD23E-1792-4CF7-99EA-46E9C21773D1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C306C80F-F4F9-4995-B4CD-E37B5262E0A2}">
      <formula1>0</formula1>
      <formula2>$B$4+2</formula2>
    </dataValidation>
    <dataValidation type="list" allowBlank="1" showInputMessage="1" showErrorMessage="1" sqref="O2" xr:uid="{AE8D8D3D-03EE-46BC-87FB-065B57A4D4BF}">
      <formula1>"7,8,9,10,11,12,13,14,15,16,17,18"</formula1>
    </dataValidation>
    <dataValidation type="list" allowBlank="1" showInputMessage="1" showErrorMessage="1" sqref="B4" xr:uid="{E3C25F0F-8267-4F7C-8F16-F43240063769}">
      <formula1>"0,1,2,3,4,5,6,7,8"</formula1>
    </dataValidation>
    <dataValidation type="list" allowBlank="1" showInputMessage="1" showErrorMessage="1" error="Maximum = 3" sqref="B9" xr:uid="{010E8289-CB87-4096-8B16-02423A47ADAD}">
      <formula1>"0,1,2,3"</formula1>
    </dataValidation>
    <dataValidation type="whole" allowBlank="1" showInputMessage="1" showErrorMessage="1" sqref="E11" xr:uid="{6D4367DF-30A9-4D79-876B-A15D60D43EA9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88482EDF-C99D-439B-9AFA-6B34545BFDA5}">
      <formula1>0</formula1>
      <formula2>E4/2</formula2>
    </dataValidation>
    <dataValidation type="whole" allowBlank="1" showInputMessage="1" showErrorMessage="1" error="Must be a negative number no less than a 50% of the base hits" sqref="B11" xr:uid="{9D21AABF-A48E-413D-9E22-6845C9F46D9E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98A8024-0F00-4F1B-9D99-3E056A03281C}">
          <x14:formula1>
            <xm:f>Brains!$B$3:$B$19</xm:f>
          </x14:formula1>
          <xm:sqref>B64</xm:sqref>
        </x14:dataValidation>
        <x14:dataValidation type="list" allowBlank="1" showInputMessage="1" showErrorMessage="1" xr:uid="{D23C9306-7FA9-41EA-8F2B-4A791F14761E}">
          <x14:formula1>
            <xm:f>Brains!$K$3:$K$16</xm:f>
          </x14:formula1>
          <xm:sqref>B65</xm:sqref>
        </x14:dataValidation>
        <x14:dataValidation type="list" allowBlank="1" showInputMessage="1" showErrorMessage="1" xr:uid="{5B202F59-B22D-4C32-A71B-486E73F6A855}">
          <x14:formula1>
            <xm:f>Packages!$B$29:$B$68</xm:f>
          </x14:formula1>
          <xm:sqref>A73:A90</xm:sqref>
        </x14:dataValidation>
        <x14:dataValidation type="list" allowBlank="1" showInputMessage="1" showErrorMessage="1" xr:uid="{4FBC46DF-2F69-4BCE-9243-45238D1B1D8E}">
          <x14:formula1>
            <xm:f>Options!$C$9:$C$251</xm:f>
          </x14:formula1>
          <xm:sqref>A36:A56</xm:sqref>
        </x14:dataValidation>
        <x14:dataValidation type="list" allowBlank="1" showInputMessage="1" showErrorMessage="1" xr:uid="{C24C5B11-3152-4084-867D-D5266D448859}">
          <x14:formula1>
            <xm:f>Packages!$B$23:$B$25</xm:f>
          </x14:formula1>
          <xm:sqref>B71</xm:sqref>
        </x14:dataValidation>
        <x14:dataValidation type="list" allowBlank="1" showInputMessage="1" showErrorMessage="1" xr:uid="{9DF7BB98-1056-4240-816B-D6472FFAA267}">
          <x14:formula1>
            <xm:f>Packages!$B$3:$B$7</xm:f>
          </x14:formula1>
          <xm:sqref>B69</xm:sqref>
        </x14:dataValidation>
        <x14:dataValidation type="list" allowBlank="1" showInputMessage="1" showErrorMessage="1" xr:uid="{B71B7460-6DF5-4763-8F05-C82C21963F59}">
          <x14:formula1>
            <xm:f>Packages!$B$11:$B$19</xm:f>
          </x14:formula1>
          <xm:sqref>B70</xm:sqref>
        </x14:dataValidation>
        <x14:dataValidation type="list" allowBlank="1" showInputMessage="1" showErrorMessage="1" xr:uid="{221754CB-C001-4527-863A-38206F37CA23}">
          <x14:formula1>
            <xm:f>Chassis!$H$3:$H$13</xm:f>
          </x14:formula1>
          <xm:sqref>B17 B5</xm:sqref>
        </x14:dataValidation>
        <x14:dataValidation type="list" allowBlank="1" showInputMessage="1" showErrorMessage="1" xr:uid="{0BB7BC89-2563-415A-9F9D-DBB3A0CE4849}">
          <x14:formula1>
            <xm:f>Options!$C$9:$C$71</xm:f>
          </x14:formula1>
          <xm:sqref>A30:A34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E9016-0D5C-4E0A-A38A-DB21F7BA4C63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838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25500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4</v>
      </c>
      <c r="E4" s="114">
        <f>_xlfn.XLOOKUP(B4,Size[Size],Size[Base Slots],,,)</f>
        <v>8</v>
      </c>
      <c r="F4" s="37">
        <f>B4+O2</f>
        <v>16</v>
      </c>
      <c r="G4" s="168" t="s">
        <v>299</v>
      </c>
      <c r="H4" s="168"/>
      <c r="I4" s="169"/>
      <c r="J4" s="108">
        <f>_xlfn.XLOOKUP(B4,Size[Size],Size[Base hits],,,)</f>
        <v>12</v>
      </c>
      <c r="K4" s="170" t="s">
        <v>727</v>
      </c>
      <c r="L4" s="171"/>
      <c r="M4" s="52">
        <f>_xlfn.XLOOKUP(B4,Size[Size],Size[Basic Cost],,,)</f>
        <v>800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(-1), </v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8000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Basic Broker Droid</v>
      </c>
      <c r="S6" s="143">
        <f>M11</f>
        <v>12</v>
      </c>
      <c r="T6" s="143" t="str">
        <f>B5</f>
        <v>Walker</v>
      </c>
      <c r="U6" s="143" t="str">
        <f>_xlfn.CONCAT(J14," m")</f>
        <v>5 m</v>
      </c>
      <c r="V6" s="144">
        <f>O2</f>
        <v>12</v>
      </c>
      <c r="W6" s="147">
        <f>P91</f>
        <v>28350</v>
      </c>
      <c r="X6" s="151">
        <f>IF(I2="Standard Design",0.1,0)</f>
        <v>0.1</v>
      </c>
      <c r="Y6" s="152">
        <v>2</v>
      </c>
      <c r="Z6" s="147">
        <f>FLOOR(P91*(1-X6),100)</f>
        <v>25500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40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Admin 0, Advocate 0, Broker 1,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108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-1</v>
      </c>
      <c r="F9" s="37"/>
      <c r="G9" s="179" t="s">
        <v>302</v>
      </c>
      <c r="H9" s="179"/>
      <c r="I9" s="180"/>
      <c r="J9" s="51">
        <f>J8*(1+B9)</f>
        <v>216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500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7)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12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216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Small (-1), (idle), Heightened Senses,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Advanced (INT 8)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216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 (broad spectrum), Transceiver 500 km (enhanced), Visual Spectrum Sensor, Voder Speaker, Wireless Data Link, Drone Interface, Encryption Module, Quick Charger, Storage Compartment (standard), Tightbeam Communicator, , , 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7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15</v>
      </c>
      <c r="K19" s="16"/>
      <c r="L19" s="60">
        <f t="shared" ref="L19:L28" si="5">D19+K19</f>
        <v>7</v>
      </c>
      <c r="M19" s="61">
        <f>IF(L19&gt;20,5,IF(L19&gt;17,4,IF(L19&gt;14,3,IF(L19&gt;11,2,IF(L19&gt;8,1,IF(L19&gt;5,0,IF(L19&gt;2,-1,-2)))))))</f>
        <v>0</v>
      </c>
      <c r="O19" s="12" t="str">
        <f>IF(I19&gt;0,_xlfn.CONCAT("Athletics (strength) ",I19,", "),"")</f>
        <v/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6">IF(B20=0,0,ROUNDUP($O$2/2+1,0))</f>
        <v>7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15</v>
      </c>
      <c r="K20" s="16"/>
      <c r="L20" s="6">
        <f t="shared" si="5"/>
        <v>7</v>
      </c>
      <c r="M20" s="61">
        <f t="shared" ref="M20:M28" si="7">IF(L20&gt;20,5,IF(L20&gt;17,4,IF(L20&gt;14,3,IF(L20&gt;11,2,IF(L20&gt;8,1,IF(L20&gt;5,0,IF(L20&gt;2,-1,-2)))))))</f>
        <v>0</v>
      </c>
      <c r="O20" s="12" t="str">
        <f t="shared" ref="O20:O28" si="8">IF(I20&gt;0,_xlfn.CONCAT("Athletics (strength) ",I20,", "),"")</f>
        <v/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15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15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15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15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15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15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15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15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640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1-100,000 Hz, -10dB</v>
      </c>
      <c r="I30" s="194"/>
      <c r="J30" s="194"/>
      <c r="K30" s="43">
        <f>_xlfn.XLOOKUP(A30,OptionsTable[Name],OptionsTable[TL],,,)</f>
        <v>8</v>
      </c>
      <c r="N30" s="5" t="str">
        <f>IF(_xlfn.XLOOKUP(A30,OptionsTable[Name],OptionsTable[Trait],,,)="","",_xlfn.XLOOKUP(A30,OptionsTable[Name],OptionsTable[Trait],,,))</f>
        <v xml:space="preserve">Heightened Senses, </v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200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469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11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500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232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0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/>
      </c>
      <c r="I37" s="194"/>
      <c r="J37" s="194"/>
      <c r="K37" s="43">
        <f>_xlfn.XLOOKUP(A37,OptionsTable[Name],OptionsTable[TL],,,)</f>
        <v>6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4000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641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-1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>1 hour recharge</v>
      </c>
      <c r="I38" s="194"/>
      <c r="J38" s="194"/>
      <c r="K38" s="43">
        <f>_xlfn.XLOOKUP(A38,OptionsTable[Name],OptionsTable[TL],,,)</f>
        <v>8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200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471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-5</v>
      </c>
      <c r="F39" s="37">
        <f>IF(_xlfn.XLOOKUP(A39,OptionsTable[Name],OptionsTable[xS],,,)=FALSE,1,IF($B$4&gt;0,$E$4,1))</f>
        <v>1</v>
      </c>
      <c r="G39" s="57">
        <v>5</v>
      </c>
      <c r="H39" s="193" t="str">
        <f>IF(_xlfn.XLOOKUP(A39,OptionsTable[Name],OptionsTable[Notes],,,)="","",_xlfn.XLOOKUP(A39,OptionsTable[Name],OptionsTable[Notes],,,))</f>
        <v>2 kg or litres / slot</v>
      </c>
      <c r="I39" s="194"/>
      <c r="J39" s="194"/>
      <c r="K39" s="43">
        <f>_xlfn.XLOOKUP(A39,OptionsTable[Name],OptionsTable[TL],,,)</f>
        <v>6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250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234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-1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8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2000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80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8</v>
      </c>
      <c r="I64" s="31">
        <f>IF(H64&gt;17,4,IF(H64&gt;14,3,IF(H64&gt;11,2,IF(H64&gt;8,1,IF(H64&gt;5,0,IF(H64&gt;2,-1,-2))))))</f>
        <v>0</v>
      </c>
      <c r="J64" s="1">
        <f>_xlfn.XLOOKUP(B64,Brains[Programming/Control],Brains[Computer/X],,,)</f>
        <v>2</v>
      </c>
      <c r="K64" s="43">
        <f>_xlfn.XLOOKUP(B64,Brains[Programming/Control],Brains[TL],,,)</f>
        <v>12</v>
      </c>
      <c r="L64">
        <f>_xlfn.XLOOKUP(B64,Brains[Programming/Control],Brains[Computer/X],,,)</f>
        <v>2</v>
      </c>
      <c r="M64" s="12" t="str">
        <f>_xlfn.XLOOKUP(B64,Brains[Programming/Control],Brains[Base capability (built-in no bandwidth, cumulative)],,,)</f>
        <v>Intelligent Interface, Expert/1, Security/1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26</v>
      </c>
      <c r="C65" s="192"/>
      <c r="D65" s="192"/>
      <c r="E65" s="39">
        <f>-_xlfn.XLOOKUP(B65,Bandwidth[Minimum Base Brain],Bandwidth[Slots],,,)</f>
        <v>0</v>
      </c>
      <c r="F65" s="37"/>
      <c r="K65" s="43">
        <f>_xlfn.XLOOKUP(B65,Bandwidth[Minimum Base Brain],Bandwidth[TL],,,)</f>
        <v>0</v>
      </c>
      <c r="L65">
        <f>_xlfn.XLOOKUP(B65,Bandwidth[Minimum Base Brain],Bandwidth[Bandwidth],,,)+L64</f>
        <v>2</v>
      </c>
      <c r="M65" t="s">
        <v>310</v>
      </c>
      <c r="P65" s="136">
        <f>_xlfn.XLOOKUP(B65,Bandwidth[Minimum Base Brain],Bandwidth[Cost],,,)</f>
        <v>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8</v>
      </c>
      <c r="I66" s="15">
        <f>IF(H66&gt;17,4,IF(H66&gt;14,3,IF(H66&gt;11,2,IF(H66&gt;8,1,IF(H66&gt;5,0,IF(H66&gt;2,-1,-2))))))</f>
        <v>0</v>
      </c>
      <c r="K66" s="43"/>
      <c r="L66" s="55">
        <f>L65+F66</f>
        <v>2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0</v>
      </c>
      <c r="K67" s="42"/>
      <c r="L67" s="56">
        <f>L66-SUM(G69:G90)</f>
        <v>1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115</v>
      </c>
      <c r="B73" s="225"/>
      <c r="C73" s="226"/>
      <c r="D73" s="57">
        <v>0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0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8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Admin 0,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100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118</v>
      </c>
      <c r="B74" s="193"/>
      <c r="C74" s="227"/>
      <c r="D74" s="57">
        <v>0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0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10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Advocate 0,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500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121</v>
      </c>
      <c r="B75" s="193"/>
      <c r="C75" s="227"/>
      <c r="D75" s="57">
        <v>1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1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11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Broker 1,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2000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28350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25500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1">
    <sortCondition ref="A36:A41"/>
  </sortState>
  <dataConsolidate/>
  <mergeCells count="114">
    <mergeCell ref="B90:C90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1:D71"/>
    <mergeCell ref="B73:C73"/>
    <mergeCell ref="B74:C74"/>
    <mergeCell ref="B75:C75"/>
    <mergeCell ref="B76:C76"/>
    <mergeCell ref="B77:C77"/>
    <mergeCell ref="A61:D61"/>
    <mergeCell ref="H61:I61"/>
    <mergeCell ref="B64:D64"/>
    <mergeCell ref="B65:D65"/>
    <mergeCell ref="B69:D69"/>
    <mergeCell ref="B70:D70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A37:D37"/>
    <mergeCell ref="H37:J37"/>
    <mergeCell ref="A38:D38"/>
    <mergeCell ref="H38:J38"/>
    <mergeCell ref="A45:D45"/>
    <mergeCell ref="H45:J45"/>
    <mergeCell ref="A46:D46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H32:J32"/>
    <mergeCell ref="A33:D33"/>
    <mergeCell ref="H33:J33"/>
    <mergeCell ref="A34:D34"/>
    <mergeCell ref="H34:J34"/>
    <mergeCell ref="H35:J35"/>
    <mergeCell ref="R14:R18"/>
    <mergeCell ref="S14:Z18"/>
    <mergeCell ref="R21:Z76"/>
    <mergeCell ref="B29:D29"/>
    <mergeCell ref="H29:J29"/>
    <mergeCell ref="A30:D30"/>
    <mergeCell ref="H30:J30"/>
    <mergeCell ref="A31:D31"/>
    <mergeCell ref="H31:J31"/>
    <mergeCell ref="A32:D32"/>
    <mergeCell ref="A39:D39"/>
    <mergeCell ref="H39:J39"/>
    <mergeCell ref="A40:D40"/>
    <mergeCell ref="H40:J40"/>
    <mergeCell ref="A41:D41"/>
    <mergeCell ref="H41:J41"/>
    <mergeCell ref="A36:D36"/>
    <mergeCell ref="H36:J36"/>
    <mergeCell ref="G11:H11"/>
    <mergeCell ref="K11:L11"/>
    <mergeCell ref="S11:Z11"/>
    <mergeCell ref="G12:O12"/>
    <mergeCell ref="S12:Z12"/>
    <mergeCell ref="S13:Z13"/>
    <mergeCell ref="G9:I9"/>
    <mergeCell ref="K9:M9"/>
    <mergeCell ref="S9:Z9"/>
    <mergeCell ref="G10:H10"/>
    <mergeCell ref="K10:M10"/>
    <mergeCell ref="S10:Z10"/>
    <mergeCell ref="G5:I5"/>
    <mergeCell ref="H6:N6"/>
    <mergeCell ref="G7:I7"/>
    <mergeCell ref="R7:R8"/>
    <mergeCell ref="S7:Z8"/>
    <mergeCell ref="G8:I8"/>
    <mergeCell ref="K8:M8"/>
    <mergeCell ref="B2:D2"/>
    <mergeCell ref="F2:H2"/>
    <mergeCell ref="I2:M2"/>
    <mergeCell ref="G3:J3"/>
    <mergeCell ref="G4:I4"/>
    <mergeCell ref="K4:L4"/>
  </mergeCells>
  <conditionalFormatting sqref="B14">
    <cfRule type="expression" dxfId="179" priority="6">
      <formula>ABS($J$14-6) &gt; 6</formula>
    </cfRule>
  </conditionalFormatting>
  <conditionalFormatting sqref="E2">
    <cfRule type="expression" dxfId="178" priority="4">
      <formula>$E$2&lt;0</formula>
    </cfRule>
  </conditionalFormatting>
  <conditionalFormatting sqref="E15:E17">
    <cfRule type="expression" dxfId="177" priority="1">
      <formula>AND($B$4=0,E15&lt;0)</formula>
    </cfRule>
  </conditionalFormatting>
  <conditionalFormatting sqref="K5 K30:K34 K36:K57 K59:K61 K64:K67 K73:K90">
    <cfRule type="expression" dxfId="176" priority="5">
      <formula>K5&gt;$O$2</formula>
    </cfRule>
  </conditionalFormatting>
  <conditionalFormatting sqref="L57">
    <cfRule type="expression" dxfId="175" priority="2">
      <formula>L57&gt;$O$2</formula>
    </cfRule>
  </conditionalFormatting>
  <conditionalFormatting sqref="L67">
    <cfRule type="expression" dxfId="174" priority="3">
      <formula>L67&lt;0</formula>
    </cfRule>
  </conditionalFormatting>
  <dataValidations count="20">
    <dataValidation type="whole" allowBlank="1" showInputMessage="1" showErrorMessage="1" error="Total Armour cannot exceed Maximum" sqref="B7" xr:uid="{686A5788-9B76-4773-A25D-C96E63829405}">
      <formula1>-1</formula1>
      <formula2>L7-MID(A7,18,1)</formula2>
    </dataValidation>
    <dataValidation type="whole" allowBlank="1" showInputMessage="1" showErrorMessage="1" error="Max DEX = TL+3" sqref="K19:K28" xr:uid="{A5B473C2-4132-41EB-B8B0-CEB188A6E790}">
      <formula1>0</formula1>
      <formula2>J19-D19</formula2>
    </dataValidation>
    <dataValidation type="whole" allowBlank="1" showInputMessage="1" showErrorMessage="1" error="Max STR = Lesser of Size + TL or SIZE X 4" sqref="G19:G28" xr:uid="{F90E8EE9-981B-4E7F-8173-CC38965AF323}">
      <formula1>0</formula1>
      <formula2>F19-C19</formula2>
    </dataValidation>
    <dataValidation type="whole" allowBlank="1" showInputMessage="1" showErrorMessage="1" sqref="E13:E14" xr:uid="{ACE417C2-E789-4E11-AE41-14A8DBDFE7A0}">
      <formula1>0</formula1>
      <formula2>#REF!/2</formula2>
    </dataValidation>
    <dataValidation type="whole" allowBlank="1" showInputMessage="1" showErrorMessage="1" sqref="C14:D14" xr:uid="{61808D5B-E8D1-40E8-A757-C7D5FDAD7653}">
      <formula1>0</formula1>
      <formula2>D15/2</formula2>
    </dataValidation>
    <dataValidation type="whole" allowBlank="1" showInputMessage="1" showErrorMessage="1" sqref="C13:D13" xr:uid="{E0E2C807-43AA-4BAD-AE5C-45736F010D8F}">
      <formula1>0</formula1>
      <formula2>D5/2</formula2>
    </dataValidation>
    <dataValidation type="whole" allowBlank="1" showInputMessage="1" showErrorMessage="1" sqref="C11:D11" xr:uid="{1A9B5FB4-47AF-4021-8E43-72DDB41F90CE}">
      <formula1>0</formula1>
      <formula2>D4/2</formula2>
    </dataValidation>
    <dataValidation type="whole" allowBlank="1" showInputMessage="1" showErrorMessage="1" error="Must be whole number between -6 and +12" sqref="B14" xr:uid="{34DA844E-A8EB-4D34-8F89-15533A161651}">
      <formula1>-6</formula1>
      <formula2>12</formula2>
    </dataValidation>
    <dataValidation type="list" allowBlank="1" showInputMessage="1" showErrorMessage="1" sqref="B16" xr:uid="{AE8A75DE-2B95-457A-A17D-B8B7F7B78997}">
      <formula1>"No,1X,2X,3X"</formula1>
    </dataValidation>
    <dataValidation type="list" allowBlank="1" showInputMessage="1" showErrorMessage="1" sqref="B15" xr:uid="{78574D0D-A2FF-4E3F-8604-F1C1FD1C5E83}">
      <formula1>"FALSE,TRUE"</formula1>
    </dataValidation>
    <dataValidation type="list" allowBlank="1" showInputMessage="1" showErrorMessage="1" sqref="D73:D90 B66" xr:uid="{210A632A-5016-4CC1-A8F5-7C4A46B9604C}">
      <formula1>"0,1,2,3"</formula1>
    </dataValidation>
    <dataValidation type="list" allowBlank="1" showInputMessage="1" showErrorMessage="1" sqref="B13" xr:uid="{38A98B35-4395-4E3F-9457-33BAE6ADAF3C}">
      <formula1>"0,1,2,3,4"</formula1>
    </dataValidation>
    <dataValidation type="list" allowBlank="1" showInputMessage="1" showErrorMessage="1" sqref="B27:B28 B67 B8" xr:uid="{8B46A34F-0A76-4CDD-B34C-411B9CAACA8C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0A3A8265-81D0-4E65-81C0-E1728AA6EF33}">
      <formula1>0</formula1>
      <formula2>$B$4+2</formula2>
    </dataValidation>
    <dataValidation type="list" allowBlank="1" showInputMessage="1" showErrorMessage="1" sqref="O2" xr:uid="{7A5B4D6F-F7A9-4932-BF92-39C2E71F4429}">
      <formula1>"7,8,9,10,11,12,13,14,15,16,17,18"</formula1>
    </dataValidation>
    <dataValidation type="list" allowBlank="1" showInputMessage="1" showErrorMessage="1" sqref="B4" xr:uid="{01853B9B-1EE2-43AA-9BB3-7DA5B34877B3}">
      <formula1>"0,1,2,3,4,5,6,7,8"</formula1>
    </dataValidation>
    <dataValidation type="list" allowBlank="1" showInputMessage="1" showErrorMessage="1" error="Maximum = 3" sqref="B9" xr:uid="{171D0B18-6E95-48E5-95E7-854D90B6685B}">
      <formula1>"0,1,2,3"</formula1>
    </dataValidation>
    <dataValidation type="whole" allowBlank="1" showInputMessage="1" showErrorMessage="1" sqref="E11" xr:uid="{0775C244-36B2-4F64-87E4-FCC5C84A6636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37926AF0-22D3-4FF6-B9AD-971252B14E94}">
      <formula1>0</formula1>
      <formula2>E4/2</formula2>
    </dataValidation>
    <dataValidation type="whole" allowBlank="1" showInputMessage="1" showErrorMessage="1" error="Must be a negative number no less than a 50% of the base hits" sqref="B11" xr:uid="{F0080E62-3718-42AA-8BA8-1FC0E6C96BE0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E395F81-D810-400A-9FB9-F1946F4D7004}">
          <x14:formula1>
            <xm:f>Packages!$B$23:$B$25</xm:f>
          </x14:formula1>
          <xm:sqref>B71</xm:sqref>
        </x14:dataValidation>
        <x14:dataValidation type="list" allowBlank="1" showInputMessage="1" showErrorMessage="1" xr:uid="{6D5A0B81-EEE3-41B5-AE49-C8AB06E67789}">
          <x14:formula1>
            <xm:f>Packages!$B$3:$B$7</xm:f>
          </x14:formula1>
          <xm:sqref>B69</xm:sqref>
        </x14:dataValidation>
        <x14:dataValidation type="list" allowBlank="1" showInputMessage="1" showErrorMessage="1" xr:uid="{91905276-0C11-4461-B616-599C8FC03CE5}">
          <x14:formula1>
            <xm:f>Packages!$B$11:$B$19</xm:f>
          </x14:formula1>
          <xm:sqref>B70</xm:sqref>
        </x14:dataValidation>
        <x14:dataValidation type="list" allowBlank="1" showInputMessage="1" showErrorMessage="1" xr:uid="{D78F9720-87CD-4B0A-939D-3A9D0AB4C73A}">
          <x14:formula1>
            <xm:f>Chassis!$H$3:$H$13</xm:f>
          </x14:formula1>
          <xm:sqref>B17 B5</xm:sqref>
        </x14:dataValidation>
        <x14:dataValidation type="list" allowBlank="1" showInputMessage="1" showErrorMessage="1" xr:uid="{81A1111A-B0C5-47FE-AF8B-ADEC0BCFA8EF}">
          <x14:formula1>
            <xm:f>Options!$C$9:$C$71</xm:f>
          </x14:formula1>
          <xm:sqref>A30:A34</xm:sqref>
        </x14:dataValidation>
        <x14:dataValidation type="list" allowBlank="1" showInputMessage="1" showErrorMessage="1" xr:uid="{92D7B6D0-C97E-4ED8-8544-6E0485BC2712}">
          <x14:formula1>
            <xm:f>Options!$C$9:$C$251</xm:f>
          </x14:formula1>
          <xm:sqref>A36:A56</xm:sqref>
        </x14:dataValidation>
        <x14:dataValidation type="list" allowBlank="1" showInputMessage="1" showErrorMessage="1" xr:uid="{817C4347-BE28-4941-ABE3-55680604D7D6}">
          <x14:formula1>
            <xm:f>Packages!$B$29:$B$68</xm:f>
          </x14:formula1>
          <xm:sqref>A73:A90</xm:sqref>
        </x14:dataValidation>
        <x14:dataValidation type="list" allowBlank="1" showInputMessage="1" showErrorMessage="1" xr:uid="{58DB70E3-799B-49B2-95A0-DA08CB5FEF6B}">
          <x14:formula1>
            <xm:f>Brains!$K$3:$K$16</xm:f>
          </x14:formula1>
          <xm:sqref>B65</xm:sqref>
        </x14:dataValidation>
        <x14:dataValidation type="list" allowBlank="1" showInputMessage="1" showErrorMessage="1" xr:uid="{96160D27-451D-4557-8126-3BC3EC484FFD}">
          <x14:formula1>
            <xm:f>Brains!$B$3:$B$19</xm:f>
          </x14:formula1>
          <xm:sqref>B64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CE496-2108-4FE1-8907-0BD6BD92D478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839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69100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4</v>
      </c>
      <c r="E4" s="114">
        <f>_xlfn.XLOOKUP(B4,Size[Size],Size[Base Slots],,,)</f>
        <v>8</v>
      </c>
      <c r="F4" s="37">
        <f>B4+O2</f>
        <v>16</v>
      </c>
      <c r="G4" s="168" t="s">
        <v>299</v>
      </c>
      <c r="H4" s="168"/>
      <c r="I4" s="169"/>
      <c r="J4" s="108">
        <f>_xlfn.XLOOKUP(B4,Size[Size],Size[Base hits],,,)</f>
        <v>12</v>
      </c>
      <c r="K4" s="170" t="s">
        <v>727</v>
      </c>
      <c r="L4" s="171"/>
      <c r="M4" s="52">
        <f>_xlfn.XLOOKUP(B4,Size[Size],Size[Basic Cost],,,)</f>
        <v>800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(-1), </v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8000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Improved Broker Droid</v>
      </c>
      <c r="S6" s="143">
        <f>M11</f>
        <v>12</v>
      </c>
      <c r="T6" s="143" t="str">
        <f>B5</f>
        <v>Walker</v>
      </c>
      <c r="U6" s="143" t="str">
        <f>_xlfn.CONCAT(J14," m")</f>
        <v>5 m</v>
      </c>
      <c r="V6" s="144">
        <f>O2</f>
        <v>12</v>
      </c>
      <c r="W6" s="147">
        <f>P91</f>
        <v>76800</v>
      </c>
      <c r="X6" s="151">
        <f>IF(I2="Standard Design",0.1,0)</f>
        <v>0.1</v>
      </c>
      <c r="Y6" s="152">
        <v>2</v>
      </c>
      <c r="Z6" s="147">
        <f>FLOOR(P91*(1-X6),100)</f>
        <v>69100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40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Admin 1, Advocate 1, Broker 3, Carouse 1, Investigate 1, Persuade 1,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108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-1</v>
      </c>
      <c r="F9" s="37"/>
      <c r="G9" s="179" t="s">
        <v>302</v>
      </c>
      <c r="H9" s="179"/>
      <c r="I9" s="180"/>
      <c r="J9" s="51">
        <f>J8*(1+B9)</f>
        <v>216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500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7)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12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216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Small (-1), (idle), Heightened Senses,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216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 (broad spectrum), Transceiver 500 km (enhanced), Visual Spectrum Sensor, Voder Speaker, Wireless Data Link, Drone Interface, Encryption Module, Quick Charger, Storage Compartment (standard), Tightbeam Communicator, , , 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7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15</v>
      </c>
      <c r="K19" s="16"/>
      <c r="L19" s="60">
        <f t="shared" ref="L19:L28" si="5">D19+K19</f>
        <v>7</v>
      </c>
      <c r="M19" s="61">
        <f>IF(L19&gt;20,5,IF(L19&gt;17,4,IF(L19&gt;14,3,IF(L19&gt;11,2,IF(L19&gt;8,1,IF(L19&gt;5,0,IF(L19&gt;2,-1,-2)))))))</f>
        <v>0</v>
      </c>
      <c r="O19" s="12" t="str">
        <f>IF(I19&gt;0,_xlfn.CONCAT("Athletics (strength) ",I19,", "),"")</f>
        <v/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6">IF(B20=0,0,ROUNDUP($O$2/2+1,0))</f>
        <v>7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15</v>
      </c>
      <c r="K20" s="16"/>
      <c r="L20" s="6">
        <f t="shared" si="5"/>
        <v>7</v>
      </c>
      <c r="M20" s="61">
        <f t="shared" ref="M20:M28" si="7">IF(L20&gt;20,5,IF(L20&gt;17,4,IF(L20&gt;14,3,IF(L20&gt;11,2,IF(L20&gt;8,1,IF(L20&gt;5,0,IF(L20&gt;2,-1,-2)))))))</f>
        <v>0</v>
      </c>
      <c r="O20" s="12" t="str">
        <f t="shared" ref="O20:O28" si="8">IF(I20&gt;0,_xlfn.CONCAT("Athletics (strength) ",I20,", "),"")</f>
        <v/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15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15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15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15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15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15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15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15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640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1-100,000 Hz, -10dB</v>
      </c>
      <c r="I30" s="194"/>
      <c r="J30" s="194"/>
      <c r="K30" s="43">
        <f>_xlfn.XLOOKUP(A30,OptionsTable[Name],OptionsTable[TL],,,)</f>
        <v>8</v>
      </c>
      <c r="N30" s="5" t="str">
        <f>IF(_xlfn.XLOOKUP(A30,OptionsTable[Name],OptionsTable[Trait],,,)="","",_xlfn.XLOOKUP(A30,OptionsTable[Name],OptionsTable[Trait],,,))</f>
        <v xml:space="preserve">Heightened Senses, </v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200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469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11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500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232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0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/>
      </c>
      <c r="I37" s="194"/>
      <c r="J37" s="194"/>
      <c r="K37" s="43">
        <f>_xlfn.XLOOKUP(A37,OptionsTable[Name],OptionsTable[TL],,,)</f>
        <v>6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4000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641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-1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>1 hour recharge</v>
      </c>
      <c r="I38" s="194"/>
      <c r="J38" s="194"/>
      <c r="K38" s="43">
        <f>_xlfn.XLOOKUP(A38,OptionsTable[Name],OptionsTable[TL],,,)</f>
        <v>8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200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471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-4</v>
      </c>
      <c r="F39" s="37">
        <f>IF(_xlfn.XLOOKUP(A39,OptionsTable[Name],OptionsTable[xS],,,)=FALSE,1,IF($B$4&gt;0,$E$4,1))</f>
        <v>1</v>
      </c>
      <c r="G39" s="57">
        <v>4</v>
      </c>
      <c r="H39" s="193" t="str">
        <f>IF(_xlfn.XLOOKUP(A39,OptionsTable[Name],OptionsTable[Notes],,,)="","",_xlfn.XLOOKUP(A39,OptionsTable[Name],OptionsTable[Notes],,,))</f>
        <v>2 kg or litres / slot</v>
      </c>
      <c r="I39" s="194"/>
      <c r="J39" s="194"/>
      <c r="K39" s="43">
        <f>_xlfn.XLOOKUP(A39,OptionsTable[Name],OptionsTable[TL],,,)</f>
        <v>6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200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234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-1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8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2000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80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8</v>
      </c>
      <c r="I64" s="31">
        <f>IF(H64&gt;17,4,IF(H64&gt;14,3,IF(H64&gt;11,2,IF(H64&gt;8,1,IF(H64&gt;5,0,IF(H64&gt;2,-1,-2))))))</f>
        <v>0</v>
      </c>
      <c r="J64" s="1">
        <f>_xlfn.XLOOKUP(B64,Brains[Programming/Control],Brains[Computer/X],,,)</f>
        <v>2</v>
      </c>
      <c r="K64" s="43">
        <f>_xlfn.XLOOKUP(B64,Brains[Programming/Control],Brains[TL],,,)</f>
        <v>12</v>
      </c>
      <c r="L64">
        <f>_xlfn.XLOOKUP(B64,Brains[Programming/Control],Brains[Computer/X],,,)</f>
        <v>2</v>
      </c>
      <c r="M64" s="12" t="str">
        <f>_xlfn.XLOOKUP(B64,Brains[Programming/Control],Brains[Base capability (built-in no bandwidth, cumulative)],,,)</f>
        <v>Intelligent Interface, Expert/1, Security/1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159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12</v>
      </c>
      <c r="L65">
        <f>_xlfn.XLOOKUP(B65,Bandwidth[Minimum Base Brain],Bandwidth[Bandwidth],,,)+L64</f>
        <v>6</v>
      </c>
      <c r="M65" t="s">
        <v>310</v>
      </c>
      <c r="P65" s="136">
        <f>_xlfn.XLOOKUP(B65,Bandwidth[Minimum Base Brain],Bandwidth[Cost],,,)</f>
        <v>20000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1</v>
      </c>
      <c r="E66" s="39"/>
      <c r="F66" s="37" cm="1">
        <f t="array" ref="F66">_xlfn.IFS(B66=0,0,B66=1,-1,B66=2,-3,B66=3,-6)</f>
        <v>-1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5</v>
      </c>
      <c r="M66" t="s">
        <v>310</v>
      </c>
      <c r="P66" s="136" cm="1">
        <f t="array" ref="P66">_xlfn.IFS(B66=0,0,B66=1,(H64+1)*1000,B66=2,(H64+1)*(H64+2)*1000,B66=3,(H64+1)*(H64+2)*(H64+3)*1000)*IF(H66&gt;11,2,1)</f>
        <v>9000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0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115</v>
      </c>
      <c r="B73" s="225"/>
      <c r="C73" s="226"/>
      <c r="D73" s="57">
        <v>0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0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8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Admin 1,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100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118</v>
      </c>
      <c r="B74" s="193"/>
      <c r="C74" s="227"/>
      <c r="D74" s="57">
        <v>0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0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10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Advocate 1,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500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121</v>
      </c>
      <c r="B75" s="193"/>
      <c r="C75" s="227"/>
      <c r="D75" s="57">
        <v>2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2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12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Broker 3,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20000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122</v>
      </c>
      <c r="B76" s="193"/>
      <c r="C76" s="227"/>
      <c r="D76" s="57">
        <v>0</v>
      </c>
      <c r="E76" s="39"/>
      <c r="G76" s="59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>1</v>
      </c>
      <c r="I76" s="58" t="str">
        <f>_xlfn.XLOOKUP(A76,StandardBrain[Name],StandardBrain[Characteristic],,,)</f>
        <v>INT</v>
      </c>
      <c r="K76" s="43">
        <f>_xlfn.XLOOKUP(A76,StandardBrain[Name],StandardBrain[TL],,,)+D76</f>
        <v>11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 xml:space="preserve">Carouse 1, </v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500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127</v>
      </c>
      <c r="B77" s="193"/>
      <c r="C77" s="227"/>
      <c r="D77" s="57">
        <v>0</v>
      </c>
      <c r="E77" s="39"/>
      <c r="G77" s="59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>1</v>
      </c>
      <c r="I77" s="58" t="str">
        <f>_xlfn.XLOOKUP(A77,StandardBrain[Name],StandardBrain[Characteristic],,,)</f>
        <v>INT</v>
      </c>
      <c r="K77" s="43">
        <f>_xlfn.XLOOKUP(A77,StandardBrain[Name],StandardBrain[TL],,,)+D77</f>
        <v>11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 xml:space="preserve">Investigate 1, </v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500</v>
      </c>
    </row>
    <row r="78" spans="1:26" ht="12" customHeight="1" x14ac:dyDescent="0.35">
      <c r="A78" s="30" t="s">
        <v>134</v>
      </c>
      <c r="B78" s="193"/>
      <c r="C78" s="227"/>
      <c r="D78" s="57">
        <v>0</v>
      </c>
      <c r="E78" s="39"/>
      <c r="G78" s="59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>1</v>
      </c>
      <c r="I78" s="58" t="str">
        <f>_xlfn.XLOOKUP(A78,StandardBrain[Name],StandardBrain[Characteristic],,,)</f>
        <v>INT</v>
      </c>
      <c r="K78" s="43">
        <f>_xlfn.XLOOKUP(A78,StandardBrain[Name],StandardBrain[TL],,,)+D78</f>
        <v>11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 xml:space="preserve">Persuade 1, </v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500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76800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69100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1">
    <sortCondition ref="A36:A41"/>
  </sortState>
  <dataConsolidate/>
  <mergeCells count="114">
    <mergeCell ref="B90:C90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1:D71"/>
    <mergeCell ref="B73:C73"/>
    <mergeCell ref="B74:C74"/>
    <mergeCell ref="B75:C75"/>
    <mergeCell ref="B76:C76"/>
    <mergeCell ref="B77:C77"/>
    <mergeCell ref="A61:D61"/>
    <mergeCell ref="H61:I61"/>
    <mergeCell ref="B64:D64"/>
    <mergeCell ref="B65:D65"/>
    <mergeCell ref="B69:D69"/>
    <mergeCell ref="B70:D70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A37:D37"/>
    <mergeCell ref="H37:J37"/>
    <mergeCell ref="A38:D38"/>
    <mergeCell ref="H38:J38"/>
    <mergeCell ref="A45:D45"/>
    <mergeCell ref="H45:J45"/>
    <mergeCell ref="A46:D46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H32:J32"/>
    <mergeCell ref="A33:D33"/>
    <mergeCell ref="H33:J33"/>
    <mergeCell ref="A34:D34"/>
    <mergeCell ref="H34:J34"/>
    <mergeCell ref="H35:J35"/>
    <mergeCell ref="R14:R18"/>
    <mergeCell ref="S14:Z18"/>
    <mergeCell ref="R21:Z76"/>
    <mergeCell ref="B29:D29"/>
    <mergeCell ref="H29:J29"/>
    <mergeCell ref="A30:D30"/>
    <mergeCell ref="H30:J30"/>
    <mergeCell ref="A31:D31"/>
    <mergeCell ref="H31:J31"/>
    <mergeCell ref="A32:D32"/>
    <mergeCell ref="A39:D39"/>
    <mergeCell ref="H39:J39"/>
    <mergeCell ref="A40:D40"/>
    <mergeCell ref="H40:J40"/>
    <mergeCell ref="A41:D41"/>
    <mergeCell ref="H41:J41"/>
    <mergeCell ref="A36:D36"/>
    <mergeCell ref="H36:J36"/>
    <mergeCell ref="G11:H11"/>
    <mergeCell ref="K11:L11"/>
    <mergeCell ref="S11:Z11"/>
    <mergeCell ref="G12:O12"/>
    <mergeCell ref="S12:Z12"/>
    <mergeCell ref="S13:Z13"/>
    <mergeCell ref="G9:I9"/>
    <mergeCell ref="K9:M9"/>
    <mergeCell ref="S9:Z9"/>
    <mergeCell ref="G10:H10"/>
    <mergeCell ref="K10:M10"/>
    <mergeCell ref="S10:Z10"/>
    <mergeCell ref="G5:I5"/>
    <mergeCell ref="H6:N6"/>
    <mergeCell ref="G7:I7"/>
    <mergeCell ref="R7:R8"/>
    <mergeCell ref="S7:Z8"/>
    <mergeCell ref="G8:I8"/>
    <mergeCell ref="K8:M8"/>
    <mergeCell ref="B2:D2"/>
    <mergeCell ref="F2:H2"/>
    <mergeCell ref="I2:M2"/>
    <mergeCell ref="G3:J3"/>
    <mergeCell ref="G4:I4"/>
    <mergeCell ref="K4:L4"/>
  </mergeCells>
  <conditionalFormatting sqref="B14">
    <cfRule type="expression" dxfId="173" priority="6">
      <formula>ABS($J$14-6) &gt; 6</formula>
    </cfRule>
  </conditionalFormatting>
  <conditionalFormatting sqref="E2">
    <cfRule type="expression" dxfId="172" priority="4">
      <formula>$E$2&lt;0</formula>
    </cfRule>
  </conditionalFormatting>
  <conditionalFormatting sqref="E15:E17">
    <cfRule type="expression" dxfId="171" priority="1">
      <formula>AND($B$4=0,E15&lt;0)</formula>
    </cfRule>
  </conditionalFormatting>
  <conditionalFormatting sqref="K5 K30:K34 K36:K57 K59:K61 K64:K67 K73:K90">
    <cfRule type="expression" dxfId="170" priority="5">
      <formula>K5&gt;$O$2</formula>
    </cfRule>
  </conditionalFormatting>
  <conditionalFormatting sqref="L57">
    <cfRule type="expression" dxfId="169" priority="2">
      <formula>L57&gt;$O$2</formula>
    </cfRule>
  </conditionalFormatting>
  <conditionalFormatting sqref="L67">
    <cfRule type="expression" dxfId="168" priority="3">
      <formula>L67&lt;0</formula>
    </cfRule>
  </conditionalFormatting>
  <dataValidations count="20">
    <dataValidation type="whole" allowBlank="1" showInputMessage="1" showErrorMessage="1" error="Must be a negative number no less than a 50% of the base hits" sqref="B11" xr:uid="{0A74B043-8229-4FC3-A944-F29F40A4C0FD}">
      <formula1>-J4/2</formula1>
      <formula2>0</formula2>
    </dataValidation>
    <dataValidation type="whole" allowBlank="1" showInputMessage="1" showErrorMessage="1" error="Must be whole number. No more than 50% of slots may be used for Resiliency" sqref="B10" xr:uid="{6323F038-2BA8-4D2F-A553-CDE5B0D2F6A8}">
      <formula1>0</formula1>
      <formula2>E4/2</formula2>
    </dataValidation>
    <dataValidation type="whole" allowBlank="1" showInputMessage="1" showErrorMessage="1" sqref="E11" xr:uid="{131709AA-CD46-4DEA-A5CC-BF659684AAE0}">
      <formula1>0</formula1>
      <formula2>J4/2</formula2>
    </dataValidation>
    <dataValidation type="list" allowBlank="1" showInputMessage="1" showErrorMessage="1" error="Maximum = 3" sqref="B9" xr:uid="{9845E354-4E54-43E7-8B75-2467F0B10C28}">
      <formula1>"0,1,2,3"</formula1>
    </dataValidation>
    <dataValidation type="list" allowBlank="1" showInputMessage="1" showErrorMessage="1" sqref="B4" xr:uid="{32B40452-1BD9-4A24-987D-9AA84820100F}">
      <formula1>"0,1,2,3,4,5,6,7,8"</formula1>
    </dataValidation>
    <dataValidation type="list" allowBlank="1" showInputMessage="1" showErrorMessage="1" sqref="O2" xr:uid="{10B1E02E-586B-4081-A5FC-2F3030189574}">
      <formula1>"7,8,9,10,11,12,13,14,15,16,17,18"</formula1>
    </dataValidation>
    <dataValidation type="whole" allowBlank="1" showInputMessage="1" showErrorMessage="1" error="Max Manipulator Size = Chassis Size +2_x000a_Min Manipulator Size = 0_x000a_Whole Numbers Only" sqref="B19:B26" xr:uid="{C40009ED-EB2D-471B-A1A7-769925F73757}">
      <formula1>0</formula1>
      <formula2>$B$4+2</formula2>
    </dataValidation>
    <dataValidation type="list" allowBlank="1" showInputMessage="1" showErrorMessage="1" sqref="B27:B28 B67 B8" xr:uid="{8C799687-B968-45F1-AC53-657B6CA6F197}">
      <formula1>"TRUE,FALSE"</formula1>
    </dataValidation>
    <dataValidation type="list" allowBlank="1" showInputMessage="1" showErrorMessage="1" sqref="B13" xr:uid="{2E409F38-7FF4-45DB-81F7-E078F7767C59}">
      <formula1>"0,1,2,3,4"</formula1>
    </dataValidation>
    <dataValidation type="list" allowBlank="1" showInputMessage="1" showErrorMessage="1" sqref="D73:D90 B66" xr:uid="{517B5C9B-F8FD-4D4B-93F9-D681EE1D6F4F}">
      <formula1>"0,1,2,3"</formula1>
    </dataValidation>
    <dataValidation type="list" allowBlank="1" showInputMessage="1" showErrorMessage="1" sqref="B15" xr:uid="{A3C7AB0C-CFDB-4061-BA56-93922028EDEA}">
      <formula1>"FALSE,TRUE"</formula1>
    </dataValidation>
    <dataValidation type="list" allowBlank="1" showInputMessage="1" showErrorMessage="1" sqref="B16" xr:uid="{E6CD68F4-AF9B-448A-B847-3F68E40D6A74}">
      <formula1>"No,1X,2X,3X"</formula1>
    </dataValidation>
    <dataValidation type="whole" allowBlank="1" showInputMessage="1" showErrorMessage="1" error="Must be whole number between -6 and +12" sqref="B14" xr:uid="{C8A90557-9B9E-46AE-81B7-CEECD62A64C3}">
      <formula1>-6</formula1>
      <formula2>12</formula2>
    </dataValidation>
    <dataValidation type="whole" allowBlank="1" showInputMessage="1" showErrorMessage="1" sqref="C11:D11" xr:uid="{90AE0342-9C65-460E-B88F-EA013431EE14}">
      <formula1>0</formula1>
      <formula2>D4/2</formula2>
    </dataValidation>
    <dataValidation type="whole" allowBlank="1" showInputMessage="1" showErrorMessage="1" sqref="C13:D13" xr:uid="{91F9537C-5C4F-4138-87FC-293FCDE718F3}">
      <formula1>0</formula1>
      <formula2>D5/2</formula2>
    </dataValidation>
    <dataValidation type="whole" allowBlank="1" showInputMessage="1" showErrorMessage="1" sqref="C14:D14" xr:uid="{AB798436-4F4C-4AEC-A691-01CC0CE7ED1A}">
      <formula1>0</formula1>
      <formula2>D15/2</formula2>
    </dataValidation>
    <dataValidation type="whole" allowBlank="1" showInputMessage="1" showErrorMessage="1" sqref="E13:E14" xr:uid="{4E79604A-1728-4AAE-9D07-C5890E44E13D}">
      <formula1>0</formula1>
      <formula2>#REF!/2</formula2>
    </dataValidation>
    <dataValidation type="whole" allowBlank="1" showInputMessage="1" showErrorMessage="1" error="Max STR = Lesser of Size + TL or SIZE X 4" sqref="G19:G28" xr:uid="{B3AFE57F-3488-4626-9BC9-FA017AEC6920}">
      <formula1>0</formula1>
      <formula2>F19-C19</formula2>
    </dataValidation>
    <dataValidation type="whole" allowBlank="1" showInputMessage="1" showErrorMessage="1" error="Max DEX = TL+3" sqref="K19:K28" xr:uid="{33495AED-4AAE-4588-A02D-1065176F84DF}">
      <formula1>0</formula1>
      <formula2>J19-D19</formula2>
    </dataValidation>
    <dataValidation type="whole" allowBlank="1" showInputMessage="1" showErrorMessage="1" error="Total Armour cannot exceed Maximum" sqref="B7" xr:uid="{F727A8E4-F8A7-4236-94D0-C6473C481D89}">
      <formula1>-1</formula1>
      <formula2>L7-MID(A7,18,1)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11B13ABE-F965-45B6-A01F-1527ECE94D23}">
          <x14:formula1>
            <xm:f>Brains!$B$3:$B$19</xm:f>
          </x14:formula1>
          <xm:sqref>B64</xm:sqref>
        </x14:dataValidation>
        <x14:dataValidation type="list" allowBlank="1" showInputMessage="1" showErrorMessage="1" xr:uid="{3F6C72C3-0170-4192-8D8A-972F82C1B1B1}">
          <x14:formula1>
            <xm:f>Brains!$K$3:$K$16</xm:f>
          </x14:formula1>
          <xm:sqref>B65</xm:sqref>
        </x14:dataValidation>
        <x14:dataValidation type="list" allowBlank="1" showInputMessage="1" showErrorMessage="1" xr:uid="{AE453672-1991-49FF-A5DC-622E46001B6E}">
          <x14:formula1>
            <xm:f>Packages!$B$29:$B$68</xm:f>
          </x14:formula1>
          <xm:sqref>A73:A90</xm:sqref>
        </x14:dataValidation>
        <x14:dataValidation type="list" allowBlank="1" showInputMessage="1" showErrorMessage="1" xr:uid="{903D22AE-5395-4E74-9AD5-83CE96F1E1A1}">
          <x14:formula1>
            <xm:f>Options!$C$9:$C$251</xm:f>
          </x14:formula1>
          <xm:sqref>A36:A56</xm:sqref>
        </x14:dataValidation>
        <x14:dataValidation type="list" allowBlank="1" showInputMessage="1" showErrorMessage="1" xr:uid="{8D184237-1082-4778-8AE8-41399C4D3D61}">
          <x14:formula1>
            <xm:f>Options!$C$9:$C$71</xm:f>
          </x14:formula1>
          <xm:sqref>A30:A34</xm:sqref>
        </x14:dataValidation>
        <x14:dataValidation type="list" allowBlank="1" showInputMessage="1" showErrorMessage="1" xr:uid="{1A5C6E12-39A7-43E4-B7D3-7738445DF86B}">
          <x14:formula1>
            <xm:f>Chassis!$H$3:$H$13</xm:f>
          </x14:formula1>
          <xm:sqref>B17 B5</xm:sqref>
        </x14:dataValidation>
        <x14:dataValidation type="list" allowBlank="1" showInputMessage="1" showErrorMessage="1" xr:uid="{50C53A76-B057-4C68-9228-A7661A85F7B8}">
          <x14:formula1>
            <xm:f>Packages!$B$11:$B$19</xm:f>
          </x14:formula1>
          <xm:sqref>B70</xm:sqref>
        </x14:dataValidation>
        <x14:dataValidation type="list" allowBlank="1" showInputMessage="1" showErrorMessage="1" xr:uid="{D9015885-628D-4A3D-8C12-A0D170FABA84}">
          <x14:formula1>
            <xm:f>Packages!$B$3:$B$7</xm:f>
          </x14:formula1>
          <xm:sqref>B69</xm:sqref>
        </x14:dataValidation>
        <x14:dataValidation type="list" allowBlank="1" showInputMessage="1" showErrorMessage="1" xr:uid="{E69058F5-7856-4806-B79B-A41FFEAA226D}">
          <x14:formula1>
            <xm:f>Packages!$B$23:$B$25</xm:f>
          </x14:formula1>
          <xm:sqref>B71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38197-D4C3-47DC-8A42-4EEE00F1250C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840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358400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4</v>
      </c>
      <c r="E4" s="114">
        <f>_xlfn.XLOOKUP(B4,Size[Size],Size[Base Slots],,,)</f>
        <v>8</v>
      </c>
      <c r="F4" s="37">
        <f>B4+O2</f>
        <v>19</v>
      </c>
      <c r="G4" s="168" t="s">
        <v>299</v>
      </c>
      <c r="H4" s="168"/>
      <c r="I4" s="169"/>
      <c r="J4" s="108">
        <f>_xlfn.XLOOKUP(B4,Size[Size],Size[Base hits],,,)</f>
        <v>12</v>
      </c>
      <c r="K4" s="170" t="s">
        <v>727</v>
      </c>
      <c r="L4" s="171"/>
      <c r="M4" s="52">
        <f>_xlfn.XLOOKUP(B4,Size[Size],Size[Basic Cost],,,)</f>
        <v>800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(-1), </v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8000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Enhanced Broker Droid</v>
      </c>
      <c r="S6" s="143">
        <f>M11</f>
        <v>12</v>
      </c>
      <c r="T6" s="143" t="str">
        <f>B5</f>
        <v>Walker</v>
      </c>
      <c r="U6" s="143" t="str">
        <f>_xlfn.CONCAT(J14," m")</f>
        <v>5 m</v>
      </c>
      <c r="V6" s="144">
        <f>O2</f>
        <v>15</v>
      </c>
      <c r="W6" s="147">
        <f>P91</f>
        <v>398300</v>
      </c>
      <c r="X6" s="151">
        <f>IF(I2="Standard Design",0.1,0)</f>
        <v>0.1</v>
      </c>
      <c r="Y6" s="152">
        <v>2</v>
      </c>
      <c r="Z6" s="147">
        <f>FLOOR(P91*(1-X6),100)</f>
        <v>358400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Admin 1, Advocate 2, Broker 4, Carouse 2, Investigate 2, Persuade 2,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144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-1</v>
      </c>
      <c r="F9" s="37"/>
      <c r="G9" s="179" t="s">
        <v>302</v>
      </c>
      <c r="H9" s="179"/>
      <c r="I9" s="180"/>
      <c r="J9" s="51">
        <f>J8*(1+B9)</f>
        <v>288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500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9)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12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288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Small (-1), (idle), Heightened Senses,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Very 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288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 (broad spectrum), Transceiver 500 km (enhanced), Visual Spectrum Sensor, Voder Speaker, Wireless Data Link, Drone Interface, Encryption Module, Quick Charger, Storage Compartment (standard), Tightbeam Communicator, , , 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9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18</v>
      </c>
      <c r="K19" s="16"/>
      <c r="L19" s="60">
        <f t="shared" ref="L19:L28" si="5">D19+K19</f>
        <v>9</v>
      </c>
      <c r="M19" s="61">
        <f>IF(L19&gt;20,5,IF(L19&gt;17,4,IF(L19&gt;14,3,IF(L19&gt;11,2,IF(L19&gt;8,1,IF(L19&gt;5,0,IF(L19&gt;2,-1,-2)))))))</f>
        <v>1</v>
      </c>
      <c r="O19" s="12" t="str">
        <f>IF(I19&gt;0,_xlfn.CONCAT("Athletics (strength) ",I19,", "),"")</f>
        <v/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6">IF(B20=0,0,ROUNDUP($O$2/2+1,0))</f>
        <v>9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18</v>
      </c>
      <c r="K20" s="16"/>
      <c r="L20" s="6">
        <f t="shared" si="5"/>
        <v>9</v>
      </c>
      <c r="M20" s="61">
        <f t="shared" ref="M20:M28" si="7">IF(L20&gt;20,5,IF(L20&gt;17,4,IF(L20&gt;14,3,IF(L20&gt;11,2,IF(L20&gt;8,1,IF(L20&gt;5,0,IF(L20&gt;2,-1,-2)))))))</f>
        <v>1</v>
      </c>
      <c r="O20" s="12" t="str">
        <f t="shared" ref="O20:O28" si="8">IF(I20&gt;0,_xlfn.CONCAT("Athletics (strength) ",I20,", "),"")</f>
        <v/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640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1-100,000 Hz, -10dB</v>
      </c>
      <c r="I30" s="194"/>
      <c r="J30" s="194"/>
      <c r="K30" s="43">
        <f>_xlfn.XLOOKUP(A30,OptionsTable[Name],OptionsTable[TL],,,)</f>
        <v>8</v>
      </c>
      <c r="N30" s="5" t="str">
        <f>IF(_xlfn.XLOOKUP(A30,OptionsTable[Name],OptionsTable[Trait],,,)="","",_xlfn.XLOOKUP(A30,OptionsTable[Name],OptionsTable[Trait],,,))</f>
        <v xml:space="preserve">Heightened Senses, </v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200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469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11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500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232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0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/>
      </c>
      <c r="I37" s="194"/>
      <c r="J37" s="194"/>
      <c r="K37" s="43">
        <f>_xlfn.XLOOKUP(A37,OptionsTable[Name],OptionsTable[TL],,,)</f>
        <v>6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4000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641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-1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>1 hour recharge</v>
      </c>
      <c r="I38" s="194"/>
      <c r="J38" s="194"/>
      <c r="K38" s="43">
        <f>_xlfn.XLOOKUP(A38,OptionsTable[Name],OptionsTable[TL],,,)</f>
        <v>8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200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471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-4</v>
      </c>
      <c r="F39" s="37">
        <f>IF(_xlfn.XLOOKUP(A39,OptionsTable[Name],OptionsTable[xS],,,)=FALSE,1,IF($B$4&gt;0,$E$4,1))</f>
        <v>1</v>
      </c>
      <c r="G39" s="57">
        <v>4</v>
      </c>
      <c r="H39" s="193" t="str">
        <f>IF(_xlfn.XLOOKUP(A39,OptionsTable[Name],OptionsTable[Notes],,,)="","",_xlfn.XLOOKUP(A39,OptionsTable[Name],OptionsTable[Notes],,,))</f>
        <v>2 kg or litres / slot</v>
      </c>
      <c r="I39" s="194"/>
      <c r="J39" s="194"/>
      <c r="K39" s="43">
        <f>_xlfn.XLOOKUP(A39,OptionsTable[Name],OptionsTable[TL],,,)</f>
        <v>6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200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234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-1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8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2000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81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9</v>
      </c>
      <c r="I64" s="31">
        <f>IF(H64&gt;17,4,IF(H64&gt;14,3,IF(H64&gt;11,2,IF(H64&gt;8,1,IF(H64&gt;5,0,IF(H64&gt;2,-1,-2))))))</f>
        <v>1</v>
      </c>
      <c r="J64" s="1">
        <f>_xlfn.XLOOKUP(B64,Brains[Programming/Control],Brains[Computer/X],,,)</f>
        <v>3</v>
      </c>
      <c r="K64" s="43">
        <f>_xlfn.XLOOKUP(B64,Brains[Programming/Control],Brains[TL],,,)</f>
        <v>12</v>
      </c>
      <c r="L64">
        <f>_xlfn.XLOOKUP(B64,Brains[Programming/Control],Brains[Computer/X],,,)</f>
        <v>3</v>
      </c>
      <c r="M64" s="12" t="str">
        <f>_xlfn.XLOOKUP(B64,Brains[Programming/Control],Brains[Base capability (built-in no bandwidth, cumulative)],,,)</f>
        <v>Intellect Interface, Expert/2, Security/2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62500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168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12</v>
      </c>
      <c r="L65">
        <f>_xlfn.XLOOKUP(B65,Bandwidth[Minimum Base Brain],Bandwidth[Bandwidth],,,)+L64</f>
        <v>11</v>
      </c>
      <c r="M65" t="s">
        <v>310</v>
      </c>
      <c r="P65" s="136">
        <f>_xlfn.XLOOKUP(B65,Bandwidth[Minimum Base Brain],Bandwidth[Cost],,,)</f>
        <v>100000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11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2</v>
      </c>
      <c r="K67" s="42"/>
      <c r="L67" s="56">
        <f>L66-SUM(G69:G90)</f>
        <v>1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115</v>
      </c>
      <c r="B73" s="225"/>
      <c r="C73" s="226"/>
      <c r="D73" s="57">
        <v>0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0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8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Admin 1,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100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118</v>
      </c>
      <c r="B74" s="193"/>
      <c r="C74" s="227"/>
      <c r="D74" s="57">
        <v>1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1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11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Advocate 2,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5000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121</v>
      </c>
      <c r="B75" s="193"/>
      <c r="C75" s="227"/>
      <c r="D75" s="57">
        <v>3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3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13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Broker 4,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200000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122</v>
      </c>
      <c r="B76" s="193"/>
      <c r="C76" s="227"/>
      <c r="D76" s="57">
        <v>1</v>
      </c>
      <c r="E76" s="39"/>
      <c r="G76" s="59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>2</v>
      </c>
      <c r="I76" s="58" t="str">
        <f>_xlfn.XLOOKUP(A76,StandardBrain[Name],StandardBrain[Characteristic],,,)</f>
        <v>INT</v>
      </c>
      <c r="K76" s="43">
        <f>_xlfn.XLOOKUP(A76,StandardBrain[Name],StandardBrain[TL],,,)+D76</f>
        <v>12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 xml:space="preserve">Carouse 2, </v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5000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127</v>
      </c>
      <c r="B77" s="193"/>
      <c r="C77" s="227"/>
      <c r="D77" s="57">
        <v>1</v>
      </c>
      <c r="E77" s="39"/>
      <c r="G77" s="59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>2</v>
      </c>
      <c r="I77" s="58" t="str">
        <f>_xlfn.XLOOKUP(A77,StandardBrain[Name],StandardBrain[Characteristic],,,)</f>
        <v>INT</v>
      </c>
      <c r="K77" s="43">
        <f>_xlfn.XLOOKUP(A77,StandardBrain[Name],StandardBrain[TL],,,)+D77</f>
        <v>12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 xml:space="preserve">Investigate 2, </v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5000</v>
      </c>
    </row>
    <row r="78" spans="1:26" ht="12" customHeight="1" x14ac:dyDescent="0.35">
      <c r="A78" s="30" t="s">
        <v>134</v>
      </c>
      <c r="B78" s="193"/>
      <c r="C78" s="227"/>
      <c r="D78" s="57">
        <v>1</v>
      </c>
      <c r="E78" s="39"/>
      <c r="G78" s="59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>2</v>
      </c>
      <c r="I78" s="58" t="str">
        <f>_xlfn.XLOOKUP(A78,StandardBrain[Name],StandardBrain[Characteristic],,,)</f>
        <v>INT</v>
      </c>
      <c r="K78" s="43">
        <f>_xlfn.XLOOKUP(A78,StandardBrain[Name],StandardBrain[TL],,,)+D78</f>
        <v>12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 xml:space="preserve">Persuade 2, </v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5000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398300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358400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1">
    <sortCondition ref="A36:A41"/>
  </sortState>
  <dataConsolidate/>
  <mergeCells count="114">
    <mergeCell ref="B90:C90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1:D71"/>
    <mergeCell ref="B73:C73"/>
    <mergeCell ref="B74:C74"/>
    <mergeCell ref="B75:C75"/>
    <mergeCell ref="B76:C76"/>
    <mergeCell ref="B77:C77"/>
    <mergeCell ref="A61:D61"/>
    <mergeCell ref="H61:I61"/>
    <mergeCell ref="B64:D64"/>
    <mergeCell ref="B65:D65"/>
    <mergeCell ref="B69:D69"/>
    <mergeCell ref="B70:D70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A37:D37"/>
    <mergeCell ref="H37:J37"/>
    <mergeCell ref="A38:D38"/>
    <mergeCell ref="H38:J38"/>
    <mergeCell ref="A45:D45"/>
    <mergeCell ref="H45:J45"/>
    <mergeCell ref="A46:D46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H32:J32"/>
    <mergeCell ref="A33:D33"/>
    <mergeCell ref="H33:J33"/>
    <mergeCell ref="A34:D34"/>
    <mergeCell ref="H34:J34"/>
    <mergeCell ref="H35:J35"/>
    <mergeCell ref="R14:R18"/>
    <mergeCell ref="S14:Z18"/>
    <mergeCell ref="R21:Z76"/>
    <mergeCell ref="B29:D29"/>
    <mergeCell ref="H29:J29"/>
    <mergeCell ref="A30:D30"/>
    <mergeCell ref="H30:J30"/>
    <mergeCell ref="A31:D31"/>
    <mergeCell ref="H31:J31"/>
    <mergeCell ref="A32:D32"/>
    <mergeCell ref="A39:D39"/>
    <mergeCell ref="H39:J39"/>
    <mergeCell ref="A40:D40"/>
    <mergeCell ref="H40:J40"/>
    <mergeCell ref="A41:D41"/>
    <mergeCell ref="H41:J41"/>
    <mergeCell ref="A36:D36"/>
    <mergeCell ref="H36:J36"/>
    <mergeCell ref="G11:H11"/>
    <mergeCell ref="K11:L11"/>
    <mergeCell ref="S11:Z11"/>
    <mergeCell ref="G12:O12"/>
    <mergeCell ref="S12:Z12"/>
    <mergeCell ref="S13:Z13"/>
    <mergeCell ref="G9:I9"/>
    <mergeCell ref="K9:M9"/>
    <mergeCell ref="S9:Z9"/>
    <mergeCell ref="G10:H10"/>
    <mergeCell ref="K10:M10"/>
    <mergeCell ref="S10:Z10"/>
    <mergeCell ref="G5:I5"/>
    <mergeCell ref="H6:N6"/>
    <mergeCell ref="G7:I7"/>
    <mergeCell ref="R7:R8"/>
    <mergeCell ref="S7:Z8"/>
    <mergeCell ref="G8:I8"/>
    <mergeCell ref="K8:M8"/>
    <mergeCell ref="B2:D2"/>
    <mergeCell ref="F2:H2"/>
    <mergeCell ref="I2:M2"/>
    <mergeCell ref="G3:J3"/>
    <mergeCell ref="G4:I4"/>
    <mergeCell ref="K4:L4"/>
  </mergeCells>
  <conditionalFormatting sqref="B14">
    <cfRule type="expression" dxfId="167" priority="6">
      <formula>ABS($J$14-6) &gt; 6</formula>
    </cfRule>
  </conditionalFormatting>
  <conditionalFormatting sqref="E2">
    <cfRule type="expression" dxfId="166" priority="4">
      <formula>$E$2&lt;0</formula>
    </cfRule>
  </conditionalFormatting>
  <conditionalFormatting sqref="E15:E17">
    <cfRule type="expression" dxfId="165" priority="1">
      <formula>AND($B$4=0,E15&lt;0)</formula>
    </cfRule>
  </conditionalFormatting>
  <conditionalFormatting sqref="K5 K30:K34 K36:K57 K59:K61 K64:K67 K73:K90">
    <cfRule type="expression" dxfId="164" priority="5">
      <formula>K5&gt;$O$2</formula>
    </cfRule>
  </conditionalFormatting>
  <conditionalFormatting sqref="L57">
    <cfRule type="expression" dxfId="163" priority="2">
      <formula>L57&gt;$O$2</formula>
    </cfRule>
  </conditionalFormatting>
  <conditionalFormatting sqref="L67">
    <cfRule type="expression" dxfId="162" priority="3">
      <formula>L67&lt;0</formula>
    </cfRule>
  </conditionalFormatting>
  <dataValidations count="20">
    <dataValidation type="whole" allowBlank="1" showInputMessage="1" showErrorMessage="1" error="Total Armour cannot exceed Maximum" sqref="B7" xr:uid="{A5F25812-45D6-47F5-BBBC-7881911B0AF6}">
      <formula1>-1</formula1>
      <formula2>L7-MID(A7,18,1)</formula2>
    </dataValidation>
    <dataValidation type="whole" allowBlank="1" showInputMessage="1" showErrorMessage="1" error="Max DEX = TL+3" sqref="K19:K28" xr:uid="{435EC81E-ADDF-4AC0-918F-9C89722E6DD3}">
      <formula1>0</formula1>
      <formula2>J19-D19</formula2>
    </dataValidation>
    <dataValidation type="whole" allowBlank="1" showInputMessage="1" showErrorMessage="1" error="Max STR = Lesser of Size + TL or SIZE X 4" sqref="G19:G28" xr:uid="{6986EB60-38C9-4147-9B9C-1A42C9718F49}">
      <formula1>0</formula1>
      <formula2>F19-C19</formula2>
    </dataValidation>
    <dataValidation type="whole" allowBlank="1" showInputMessage="1" showErrorMessage="1" sqref="E13:E14" xr:uid="{9D6CE101-D502-436C-A8B9-6A64A510746B}">
      <formula1>0</formula1>
      <formula2>#REF!/2</formula2>
    </dataValidation>
    <dataValidation type="whole" allowBlank="1" showInputMessage="1" showErrorMessage="1" sqref="C14:D14" xr:uid="{13BA3F92-32DD-46F4-A92C-C3717F3BD447}">
      <formula1>0</formula1>
      <formula2>D15/2</formula2>
    </dataValidation>
    <dataValidation type="whole" allowBlank="1" showInputMessage="1" showErrorMessage="1" sqref="C13:D13" xr:uid="{D37BA965-BEBA-4544-AC66-0E02CFE31E1C}">
      <formula1>0</formula1>
      <formula2>D5/2</formula2>
    </dataValidation>
    <dataValidation type="whole" allowBlank="1" showInputMessage="1" showErrorMessage="1" sqref="C11:D11" xr:uid="{42914B3E-31CC-4B7D-9EC3-98DB1FB661EE}">
      <formula1>0</formula1>
      <formula2>D4/2</formula2>
    </dataValidation>
    <dataValidation type="whole" allowBlank="1" showInputMessage="1" showErrorMessage="1" error="Must be whole number between -6 and +12" sqref="B14" xr:uid="{77A8B5B5-8584-4A93-BC14-67A7B60D2A5C}">
      <formula1>-6</formula1>
      <formula2>12</formula2>
    </dataValidation>
    <dataValidation type="list" allowBlank="1" showInputMessage="1" showErrorMessage="1" sqref="B16" xr:uid="{29E56AC7-B444-4AB6-966C-7B0D02FB3FC9}">
      <formula1>"No,1X,2X,3X"</formula1>
    </dataValidation>
    <dataValidation type="list" allowBlank="1" showInputMessage="1" showErrorMessage="1" sqref="B15" xr:uid="{40233FA6-62A4-4F25-98CA-43072D2BBA04}">
      <formula1>"FALSE,TRUE"</formula1>
    </dataValidation>
    <dataValidation type="list" allowBlank="1" showInputMessage="1" showErrorMessage="1" sqref="D73:D90 B66" xr:uid="{28516B84-A857-47B1-ABD1-567FCCD781CF}">
      <formula1>"0,1,2,3"</formula1>
    </dataValidation>
    <dataValidation type="list" allowBlank="1" showInputMessage="1" showErrorMessage="1" sqref="B13" xr:uid="{AAFF21AF-CF65-421B-96DF-98BE57548CF7}">
      <formula1>"0,1,2,3,4"</formula1>
    </dataValidation>
    <dataValidation type="list" allowBlank="1" showInputMessage="1" showErrorMessage="1" sqref="B27:B28 B67 B8" xr:uid="{8D0857B9-22C3-4379-A9E2-C96BFD8094EE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41C71D3E-5C18-4749-BADF-F1236500A51B}">
      <formula1>0</formula1>
      <formula2>$B$4+2</formula2>
    </dataValidation>
    <dataValidation type="list" allowBlank="1" showInputMessage="1" showErrorMessage="1" sqref="O2" xr:uid="{872BF4F0-36BD-473D-B186-BF365ABF8090}">
      <formula1>"7,8,9,10,11,12,13,14,15,16,17,18"</formula1>
    </dataValidation>
    <dataValidation type="list" allowBlank="1" showInputMessage="1" showErrorMessage="1" sqref="B4" xr:uid="{7A6BC1E5-1542-4DFE-9432-FD3B279020F6}">
      <formula1>"0,1,2,3,4,5,6,7,8"</formula1>
    </dataValidation>
    <dataValidation type="list" allowBlank="1" showInputMessage="1" showErrorMessage="1" error="Maximum = 3" sqref="B9" xr:uid="{08D46353-FF74-4D2D-89EE-0905675E1BEC}">
      <formula1>"0,1,2,3"</formula1>
    </dataValidation>
    <dataValidation type="whole" allowBlank="1" showInputMessage="1" showErrorMessage="1" sqref="E11" xr:uid="{CA41D86D-23A5-411B-A339-072B5048F93B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2F21CE7E-B086-48A1-867D-E4EFFE0FD839}">
      <formula1>0</formula1>
      <formula2>E4/2</formula2>
    </dataValidation>
    <dataValidation type="whole" allowBlank="1" showInputMessage="1" showErrorMessage="1" error="Must be a negative number no less than a 50% of the base hits" sqref="B11" xr:uid="{3B11F345-200B-4589-B8C2-02497119A221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65E0DD7B-A212-4F3C-BAEC-DDA00DCA0F11}">
          <x14:formula1>
            <xm:f>Packages!$B$23:$B$25</xm:f>
          </x14:formula1>
          <xm:sqref>B71</xm:sqref>
        </x14:dataValidation>
        <x14:dataValidation type="list" allowBlank="1" showInputMessage="1" showErrorMessage="1" xr:uid="{D68BC067-1B2F-4870-B573-26FE871B389C}">
          <x14:formula1>
            <xm:f>Packages!$B$3:$B$7</xm:f>
          </x14:formula1>
          <xm:sqref>B69</xm:sqref>
        </x14:dataValidation>
        <x14:dataValidation type="list" allowBlank="1" showInputMessage="1" showErrorMessage="1" xr:uid="{0F198851-B489-4713-81A7-34C7582B6E5A}">
          <x14:formula1>
            <xm:f>Packages!$B$11:$B$19</xm:f>
          </x14:formula1>
          <xm:sqref>B70</xm:sqref>
        </x14:dataValidation>
        <x14:dataValidation type="list" allowBlank="1" showInputMessage="1" showErrorMessage="1" xr:uid="{DA7D1F2B-3538-48FA-A692-DC27EEB1BE92}">
          <x14:formula1>
            <xm:f>Chassis!$H$3:$H$13</xm:f>
          </x14:formula1>
          <xm:sqref>B17 B5</xm:sqref>
        </x14:dataValidation>
        <x14:dataValidation type="list" allowBlank="1" showInputMessage="1" showErrorMessage="1" xr:uid="{7B8341CD-B790-4A1D-8F6B-571A7F1EE5B3}">
          <x14:formula1>
            <xm:f>Options!$C$9:$C$71</xm:f>
          </x14:formula1>
          <xm:sqref>A30:A34</xm:sqref>
        </x14:dataValidation>
        <x14:dataValidation type="list" allowBlank="1" showInputMessage="1" showErrorMessage="1" xr:uid="{FD706CE2-CBF7-44BD-81E6-8BA45D6EDA19}">
          <x14:formula1>
            <xm:f>Options!$C$9:$C$251</xm:f>
          </x14:formula1>
          <xm:sqref>A36:A56</xm:sqref>
        </x14:dataValidation>
        <x14:dataValidation type="list" allowBlank="1" showInputMessage="1" showErrorMessage="1" xr:uid="{4A61DF32-4CF1-493C-8FAF-77D7C7FD437E}">
          <x14:formula1>
            <xm:f>Packages!$B$29:$B$68</xm:f>
          </x14:formula1>
          <xm:sqref>A73:A90</xm:sqref>
        </x14:dataValidation>
        <x14:dataValidation type="list" allowBlank="1" showInputMessage="1" showErrorMessage="1" xr:uid="{0D20132D-F93E-4691-827D-7D06756C818F}">
          <x14:formula1>
            <xm:f>Brains!$K$3:$K$16</xm:f>
          </x14:formula1>
          <xm:sqref>B65</xm:sqref>
        </x14:dataValidation>
        <x14:dataValidation type="list" allowBlank="1" showInputMessage="1" showErrorMessage="1" xr:uid="{80A486EC-85A0-4B84-A657-7B4BAC93CB27}">
          <x14:formula1>
            <xm:f>Brains!$B$3:$B$19</xm:f>
          </x14:formula1>
          <xm:sqref>B64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BF76E-F29D-42B6-8FE7-AFA73D7B9C86}">
  <sheetPr>
    <tabColor rgb="FF92D050"/>
  </sheetPr>
  <dimension ref="A1:Z110"/>
  <sheetViews>
    <sheetView workbookViewId="0">
      <pane ySplit="3" topLeftCell="A31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841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3884000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4</v>
      </c>
      <c r="E4" s="114">
        <f>_xlfn.XLOOKUP(B4,Size[Size],Size[Base Slots],,,)</f>
        <v>8</v>
      </c>
      <c r="F4" s="37">
        <f>B4+O2</f>
        <v>19</v>
      </c>
      <c r="G4" s="168" t="s">
        <v>299</v>
      </c>
      <c r="H4" s="168"/>
      <c r="I4" s="169"/>
      <c r="J4" s="108">
        <f>_xlfn.XLOOKUP(B4,Size[Size],Size[Base hits],,,)</f>
        <v>12</v>
      </c>
      <c r="K4" s="170" t="s">
        <v>727</v>
      </c>
      <c r="L4" s="171"/>
      <c r="M4" s="52">
        <f>_xlfn.XLOOKUP(B4,Size[Size],Size[Basic Cost],,,)</f>
        <v>800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(-1), </v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8000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Advanced Broker Droid</v>
      </c>
      <c r="S6" s="143">
        <f>M11</f>
        <v>12</v>
      </c>
      <c r="T6" s="143" t="str">
        <f>B5</f>
        <v>Walker</v>
      </c>
      <c r="U6" s="143" t="str">
        <f>_xlfn.CONCAT(J14," m")</f>
        <v>5 m</v>
      </c>
      <c r="V6" s="144">
        <f>O2</f>
        <v>15</v>
      </c>
      <c r="W6" s="147">
        <f>P91</f>
        <v>4315650</v>
      </c>
      <c r="X6" s="151">
        <f>IF(I2="Standard Design",0.1,0)</f>
        <v>0.1</v>
      </c>
      <c r="Y6" s="152">
        <v>2</v>
      </c>
      <c r="Z6" s="147">
        <f>FLOOR(P91*(1-X6),100)</f>
        <v>3884000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Admin 5, Advocate 5, Broker 5, Carouse 5, Investigate 5, Persuade 5,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144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-1</v>
      </c>
      <c r="F9" s="37"/>
      <c r="G9" s="179" t="s">
        <v>302</v>
      </c>
      <c r="H9" s="179"/>
      <c r="I9" s="180"/>
      <c r="J9" s="51">
        <f>J8*(1+B9)</f>
        <v>288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500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9)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12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288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Small (-1), (idle), Heightened Senses,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Self-aware (INT 12)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288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 (broad spectrum), Transceiver 500 km (enhanced), Visual Spectrum Sensor, Voder Speaker, Wireless Data Link, Drone Interface, Encryption Module, Quick Charger, Storage Compartment (standard), Tightbeam Communicator, , , 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9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18</v>
      </c>
      <c r="K19" s="16"/>
      <c r="L19" s="60">
        <f t="shared" ref="L19:L28" si="5">D19+K19</f>
        <v>9</v>
      </c>
      <c r="M19" s="61">
        <f>IF(L19&gt;20,5,IF(L19&gt;17,4,IF(L19&gt;14,3,IF(L19&gt;11,2,IF(L19&gt;8,1,IF(L19&gt;5,0,IF(L19&gt;2,-1,-2)))))))</f>
        <v>1</v>
      </c>
      <c r="O19" s="12" t="str">
        <f>IF(I19&gt;0,_xlfn.CONCAT("Athletics (strength) ",I19,", "),"")</f>
        <v/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6">IF(B20=0,0,ROUNDUP($O$2/2+1,0))</f>
        <v>9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18</v>
      </c>
      <c r="K20" s="16"/>
      <c r="L20" s="6">
        <f t="shared" si="5"/>
        <v>9</v>
      </c>
      <c r="M20" s="61">
        <f t="shared" ref="M20:M28" si="7">IF(L20&gt;20,5,IF(L20&gt;17,4,IF(L20&gt;14,3,IF(L20&gt;11,2,IF(L20&gt;8,1,IF(L20&gt;5,0,IF(L20&gt;2,-1,-2)))))))</f>
        <v>1</v>
      </c>
      <c r="O20" s="12" t="str">
        <f t="shared" ref="O20:O28" si="8">IF(I20&gt;0,_xlfn.CONCAT("Athletics (strength) ",I20,", "),"")</f>
        <v/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640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1-100,000 Hz, -10dB</v>
      </c>
      <c r="I30" s="194"/>
      <c r="J30" s="194"/>
      <c r="K30" s="43">
        <f>_xlfn.XLOOKUP(A30,OptionsTable[Name],OptionsTable[TL],,,)</f>
        <v>8</v>
      </c>
      <c r="N30" s="5" t="str">
        <f>IF(_xlfn.XLOOKUP(A30,OptionsTable[Name],OptionsTable[Trait],,,)="","",_xlfn.XLOOKUP(A30,OptionsTable[Name],OptionsTable[Trait],,,))</f>
        <v xml:space="preserve">Heightened Senses, </v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200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469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11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500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232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0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/>
      </c>
      <c r="I37" s="194"/>
      <c r="J37" s="194"/>
      <c r="K37" s="43">
        <f>_xlfn.XLOOKUP(A37,OptionsTable[Name],OptionsTable[TL],,,)</f>
        <v>6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4000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641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-1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>1 hour recharge</v>
      </c>
      <c r="I38" s="194"/>
      <c r="J38" s="194"/>
      <c r="K38" s="43">
        <f>_xlfn.XLOOKUP(A38,OptionsTable[Name],OptionsTable[TL],,,)</f>
        <v>8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200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471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-3</v>
      </c>
      <c r="F39" s="37">
        <f>IF(_xlfn.XLOOKUP(A39,OptionsTable[Name],OptionsTable[xS],,,)=FALSE,1,IF($B$4&gt;0,$E$4,1))</f>
        <v>1</v>
      </c>
      <c r="G39" s="57">
        <v>3</v>
      </c>
      <c r="H39" s="193" t="str">
        <f>IF(_xlfn.XLOOKUP(A39,OptionsTable[Name],OptionsTable[Notes],,,)="","",_xlfn.XLOOKUP(A39,OptionsTable[Name],OptionsTable[Notes],,,))</f>
        <v>2 kg or litres / slot</v>
      </c>
      <c r="I39" s="194"/>
      <c r="J39" s="194"/>
      <c r="K39" s="43">
        <f>_xlfn.XLOOKUP(A39,OptionsTable[Name],OptionsTable[TL],,,)</f>
        <v>6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150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234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-1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8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2000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84</v>
      </c>
      <c r="C64" s="224"/>
      <c r="D64" s="224"/>
      <c r="E64" s="39">
        <f>IF(L64+K64-O2&gt;B4,-1,0)</f>
        <v>-1</v>
      </c>
      <c r="F64" s="37"/>
      <c r="H64" s="1">
        <f>_xlfn.XLOOKUP(B64,Brains[Programming/Control],Brains[Base INT],,,)</f>
        <v>12</v>
      </c>
      <c r="I64" s="31">
        <f>IF(H64&gt;17,4,IF(H64&gt;14,3,IF(H64&gt;11,2,IF(H64&gt;8,1,IF(H64&gt;5,0,IF(H64&gt;2,-1,-2))))))</f>
        <v>2</v>
      </c>
      <c r="J64" s="1">
        <f>_xlfn.XLOOKUP(B64,Brains[Programming/Control],Brains[Computer/X],,,)</f>
        <v>10</v>
      </c>
      <c r="K64" s="43">
        <f>_xlfn.XLOOKUP(B64,Brains[Programming/Control],Brains[TL],,,)</f>
        <v>15</v>
      </c>
      <c r="L64">
        <f>_xlfn.XLOOKUP(B64,Brains[Programming/Control],Brains[Computer/X],,,)</f>
        <v>10</v>
      </c>
      <c r="M64" s="12" t="str">
        <f>_xlfn.XLOOKUP(B64,Brains[Programming/Control],Brains[Base capability (built-in no bandwidth, cumulative)],,,)</f>
        <v>Near sentient, Expert/3, Security/3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162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15</v>
      </c>
      <c r="L65">
        <f>_xlfn.XLOOKUP(B65,Bandwidth[Minimum Base Brain],Bandwidth[Bandwidth],,,)+L64</f>
        <v>25</v>
      </c>
      <c r="M65" t="s">
        <v>310</v>
      </c>
      <c r="P65" s="136">
        <f>_xlfn.XLOOKUP(B65,Bandwidth[Minimum Base Brain],Bandwidth[Cost],,,)</f>
        <v>1000000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12</v>
      </c>
      <c r="I66" s="15">
        <f>IF(H66&gt;17,4,IF(H66&gt;14,3,IF(H66&gt;11,2,IF(H66&gt;8,1,IF(H66&gt;5,0,IF(H66&gt;2,-1,-2))))))</f>
        <v>2</v>
      </c>
      <c r="K66" s="43"/>
      <c r="L66" s="55">
        <f>L65+F66</f>
        <v>25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10</v>
      </c>
      <c r="K67" s="42"/>
      <c r="L67" s="56">
        <f>L66-SUM(G69:G90)</f>
        <v>4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115</v>
      </c>
      <c r="B73" s="225"/>
      <c r="C73" s="226"/>
      <c r="D73" s="57">
        <v>3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3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11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Admin 5,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100000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118</v>
      </c>
      <c r="B74" s="193"/>
      <c r="C74" s="227"/>
      <c r="D74" s="57">
        <v>3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3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13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Advocate 5,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500000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121</v>
      </c>
      <c r="B75" s="193"/>
      <c r="C75" s="227"/>
      <c r="D75" s="57">
        <v>3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3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13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Broker 5,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200000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122</v>
      </c>
      <c r="B76" s="193"/>
      <c r="C76" s="227"/>
      <c r="D76" s="57">
        <v>3</v>
      </c>
      <c r="E76" s="39"/>
      <c r="G76" s="59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>4</v>
      </c>
      <c r="I76" s="58" t="str">
        <f>_xlfn.XLOOKUP(A76,StandardBrain[Name],StandardBrain[Characteristic],,,)</f>
        <v>INT</v>
      </c>
      <c r="K76" s="43">
        <f>_xlfn.XLOOKUP(A76,StandardBrain[Name],StandardBrain[TL],,,)+D76</f>
        <v>14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 xml:space="preserve">Carouse 5, </v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500000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127</v>
      </c>
      <c r="B77" s="193"/>
      <c r="C77" s="227"/>
      <c r="D77" s="57">
        <v>3</v>
      </c>
      <c r="E77" s="39"/>
      <c r="G77" s="59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>4</v>
      </c>
      <c r="I77" s="58" t="str">
        <f>_xlfn.XLOOKUP(A77,StandardBrain[Name],StandardBrain[Characteristic],,,)</f>
        <v>INT</v>
      </c>
      <c r="K77" s="43">
        <f>_xlfn.XLOOKUP(A77,StandardBrain[Name],StandardBrain[TL],,,)+D77</f>
        <v>14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 xml:space="preserve">Investigate 5, </v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500000</v>
      </c>
    </row>
    <row r="78" spans="1:26" ht="12" customHeight="1" x14ac:dyDescent="0.35">
      <c r="A78" s="30" t="s">
        <v>134</v>
      </c>
      <c r="B78" s="193"/>
      <c r="C78" s="227"/>
      <c r="D78" s="57">
        <v>3</v>
      </c>
      <c r="E78" s="39"/>
      <c r="G78" s="59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>4</v>
      </c>
      <c r="I78" s="58" t="str">
        <f>_xlfn.XLOOKUP(A78,StandardBrain[Name],StandardBrain[Characteristic],,,)</f>
        <v>INT</v>
      </c>
      <c r="K78" s="43">
        <f>_xlfn.XLOOKUP(A78,StandardBrain[Name],StandardBrain[TL],,,)+D78</f>
        <v>14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 xml:space="preserve">Persuade 5, </v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500000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4315650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3884000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dataConsolidate/>
  <mergeCells count="114">
    <mergeCell ref="B90:C90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1:D71"/>
    <mergeCell ref="B73:C73"/>
    <mergeCell ref="B74:C74"/>
    <mergeCell ref="B75:C75"/>
    <mergeCell ref="B76:C76"/>
    <mergeCell ref="B77:C77"/>
    <mergeCell ref="A61:D61"/>
    <mergeCell ref="H61:I61"/>
    <mergeCell ref="B64:D64"/>
    <mergeCell ref="B65:D65"/>
    <mergeCell ref="B69:D69"/>
    <mergeCell ref="B70:D70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A45:D45"/>
    <mergeCell ref="H45:J45"/>
    <mergeCell ref="A46:D46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A39:D39"/>
    <mergeCell ref="H39:J39"/>
    <mergeCell ref="A40:D40"/>
    <mergeCell ref="H40:J40"/>
    <mergeCell ref="A41:D41"/>
    <mergeCell ref="H41:J41"/>
    <mergeCell ref="A36:D36"/>
    <mergeCell ref="H36:J36"/>
    <mergeCell ref="A37:D37"/>
    <mergeCell ref="H37:J37"/>
    <mergeCell ref="A38:D38"/>
    <mergeCell ref="H38:J38"/>
    <mergeCell ref="H32:J32"/>
    <mergeCell ref="A33:D33"/>
    <mergeCell ref="H33:J33"/>
    <mergeCell ref="A34:D34"/>
    <mergeCell ref="H34:J34"/>
    <mergeCell ref="H35:J35"/>
    <mergeCell ref="R14:R18"/>
    <mergeCell ref="S14:Z18"/>
    <mergeCell ref="R21:Z76"/>
    <mergeCell ref="B29:D29"/>
    <mergeCell ref="H29:J29"/>
    <mergeCell ref="A30:D30"/>
    <mergeCell ref="H30:J30"/>
    <mergeCell ref="A31:D31"/>
    <mergeCell ref="H31:J31"/>
    <mergeCell ref="A32:D32"/>
    <mergeCell ref="G11:H11"/>
    <mergeCell ref="K11:L11"/>
    <mergeCell ref="S11:Z11"/>
    <mergeCell ref="G12:O12"/>
    <mergeCell ref="S12:Z12"/>
    <mergeCell ref="S13:Z13"/>
    <mergeCell ref="G9:I9"/>
    <mergeCell ref="K9:M9"/>
    <mergeCell ref="S9:Z9"/>
    <mergeCell ref="G10:H10"/>
    <mergeCell ref="K10:M10"/>
    <mergeCell ref="S10:Z10"/>
    <mergeCell ref="G5:I5"/>
    <mergeCell ref="H6:N6"/>
    <mergeCell ref="G7:I7"/>
    <mergeCell ref="R7:R8"/>
    <mergeCell ref="S7:Z8"/>
    <mergeCell ref="G8:I8"/>
    <mergeCell ref="K8:M8"/>
    <mergeCell ref="B2:D2"/>
    <mergeCell ref="F2:H2"/>
    <mergeCell ref="I2:M2"/>
    <mergeCell ref="G3:J3"/>
    <mergeCell ref="G4:I4"/>
    <mergeCell ref="K4:L4"/>
  </mergeCells>
  <conditionalFormatting sqref="B14">
    <cfRule type="expression" dxfId="11" priority="6">
      <formula>ABS($J$14-6) &gt; 6</formula>
    </cfRule>
  </conditionalFormatting>
  <conditionalFormatting sqref="E2">
    <cfRule type="expression" dxfId="10" priority="4">
      <formula>$E$2&lt;0</formula>
    </cfRule>
  </conditionalFormatting>
  <conditionalFormatting sqref="E15:E17">
    <cfRule type="expression" dxfId="9" priority="1">
      <formula>AND($B$4=0,E15&lt;0)</formula>
    </cfRule>
  </conditionalFormatting>
  <conditionalFormatting sqref="K5 K30:K34 K36:K57 K59:K61 K64:K67 K73:K90">
    <cfRule type="expression" dxfId="8" priority="5">
      <formula>K5&gt;$O$2</formula>
    </cfRule>
  </conditionalFormatting>
  <conditionalFormatting sqref="L57">
    <cfRule type="expression" dxfId="7" priority="2">
      <formula>L57&gt;$O$2</formula>
    </cfRule>
  </conditionalFormatting>
  <conditionalFormatting sqref="L67">
    <cfRule type="expression" dxfId="6" priority="3">
      <formula>L67&lt;0</formula>
    </cfRule>
  </conditionalFormatting>
  <dataValidations count="20">
    <dataValidation type="whole" allowBlank="1" showInputMessage="1" showErrorMessage="1" error="Total Armour cannot exceed Maximum" sqref="B7" xr:uid="{CFAF3FF3-030F-4186-9D65-CEAD2D79DA2B}">
      <formula1>-1</formula1>
      <formula2>L7-MID(A7,18,1)</formula2>
    </dataValidation>
    <dataValidation type="whole" allowBlank="1" showInputMessage="1" showErrorMessage="1" error="Max DEX = TL+3" sqref="K19:K28" xr:uid="{889E5659-BC44-4919-B678-222B6C98B7D3}">
      <formula1>0</formula1>
      <formula2>J19-D19</formula2>
    </dataValidation>
    <dataValidation type="whole" allowBlank="1" showInputMessage="1" showErrorMessage="1" error="Max STR = Lesser of Size + TL or SIZE X 4" sqref="G19:G28" xr:uid="{90596768-43CD-4000-A415-65D48C43AA5F}">
      <formula1>0</formula1>
      <formula2>F19-C19</formula2>
    </dataValidation>
    <dataValidation type="whole" allowBlank="1" showInputMessage="1" showErrorMessage="1" sqref="E13:E14" xr:uid="{F039DF9D-51C9-4792-9D9F-CD5091B75F47}">
      <formula1>0</formula1>
      <formula2>#REF!/2</formula2>
    </dataValidation>
    <dataValidation type="whole" allowBlank="1" showInputMessage="1" showErrorMessage="1" sqref="C14:D14" xr:uid="{DAA5AED3-7330-4DB5-82D6-90D7DC06EA6B}">
      <formula1>0</formula1>
      <formula2>D15/2</formula2>
    </dataValidation>
    <dataValidation type="whole" allowBlank="1" showInputMessage="1" showErrorMessage="1" sqref="C13:D13" xr:uid="{46D8DDF7-8D0E-4434-96CB-AE9EE543EB25}">
      <formula1>0</formula1>
      <formula2>D5/2</formula2>
    </dataValidation>
    <dataValidation type="whole" allowBlank="1" showInputMessage="1" showErrorMessage="1" sqref="C11:D11" xr:uid="{167D8115-690B-441E-9058-D9A6EF884AF1}">
      <formula1>0</formula1>
      <formula2>D4/2</formula2>
    </dataValidation>
    <dataValidation type="whole" allowBlank="1" showInputMessage="1" showErrorMessage="1" error="Must be whole number between -6 and +12" sqref="B14" xr:uid="{A2D243B9-FB5E-4608-8CFE-7945AA645FEE}">
      <formula1>-6</formula1>
      <formula2>12</formula2>
    </dataValidation>
    <dataValidation type="list" allowBlank="1" showInputMessage="1" showErrorMessage="1" sqref="B16" xr:uid="{23E050E4-E18F-474A-B502-B189C61A5F50}">
      <formula1>"No,1X,2X,3X"</formula1>
    </dataValidation>
    <dataValidation type="list" allowBlank="1" showInputMessage="1" showErrorMessage="1" sqref="B15" xr:uid="{11000693-9509-4A8B-B5BD-4506E53FF976}">
      <formula1>"FALSE,TRUE"</formula1>
    </dataValidation>
    <dataValidation type="list" allowBlank="1" showInputMessage="1" showErrorMessage="1" sqref="D73:D90 B66" xr:uid="{2BB7E44E-775C-4DA7-8E6F-F231BA3CF866}">
      <formula1>"0,1,2,3"</formula1>
    </dataValidation>
    <dataValidation type="list" allowBlank="1" showInputMessage="1" showErrorMessage="1" sqref="B13" xr:uid="{51262F93-DDA3-4A7F-B33F-41A939D76B81}">
      <formula1>"0,1,2,3,4"</formula1>
    </dataValidation>
    <dataValidation type="list" allowBlank="1" showInputMessage="1" showErrorMessage="1" sqref="B27:B28 B67 B8" xr:uid="{647F0AA3-0C99-4593-96C2-58D44286E49E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AB25FD0D-8467-422D-BAE8-6754608CE904}">
      <formula1>0</formula1>
      <formula2>$B$4+2</formula2>
    </dataValidation>
    <dataValidation type="list" allowBlank="1" showInputMessage="1" showErrorMessage="1" sqref="O2" xr:uid="{FDBF7799-604C-4F71-A99E-58CAE6CC9C1D}">
      <formula1>"7,8,9,10,11,12,13,14,15,16,17,18"</formula1>
    </dataValidation>
    <dataValidation type="list" allowBlank="1" showInputMessage="1" showErrorMessage="1" sqref="B4" xr:uid="{1F3ED1E0-0098-4DFB-9D5E-82B9D2E967E7}">
      <formula1>"0,1,2,3,4,5,6,7,8"</formula1>
    </dataValidation>
    <dataValidation type="list" allowBlank="1" showInputMessage="1" showErrorMessage="1" error="Maximum = 3" sqref="B9" xr:uid="{9FF448A6-CD59-4D1B-AF2E-01C049FE5499}">
      <formula1>"0,1,2,3"</formula1>
    </dataValidation>
    <dataValidation type="whole" allowBlank="1" showInputMessage="1" showErrorMessage="1" sqref="E11" xr:uid="{195EB39B-9E3D-4EBF-B33B-117E57F78724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B4E3533B-E9B3-4C46-9758-77058D84B408}">
      <formula1>0</formula1>
      <formula2>E4/2</formula2>
    </dataValidation>
    <dataValidation type="whole" allowBlank="1" showInputMessage="1" showErrorMessage="1" error="Must be a negative number no less than a 50% of the base hits" sqref="B11" xr:uid="{A4BC9BA2-BB46-46E9-A2B3-3CFB5E14C8C6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642F938-CF3C-40F3-8482-82887231D527}">
          <x14:formula1>
            <xm:f>Packages!$B$23:$B$25</xm:f>
          </x14:formula1>
          <xm:sqref>B71</xm:sqref>
        </x14:dataValidation>
        <x14:dataValidation type="list" allowBlank="1" showInputMessage="1" showErrorMessage="1" xr:uid="{8B079189-CA9F-4E4D-8C86-1C0DFF0CF79A}">
          <x14:formula1>
            <xm:f>Packages!$B$3:$B$7</xm:f>
          </x14:formula1>
          <xm:sqref>B69</xm:sqref>
        </x14:dataValidation>
        <x14:dataValidation type="list" allowBlank="1" showInputMessage="1" showErrorMessage="1" xr:uid="{B1B03EE1-AED2-40E1-8854-D565D7E30173}">
          <x14:formula1>
            <xm:f>Packages!$B$11:$B$19</xm:f>
          </x14:formula1>
          <xm:sqref>B70</xm:sqref>
        </x14:dataValidation>
        <x14:dataValidation type="list" allowBlank="1" showInputMessage="1" showErrorMessage="1" xr:uid="{E78A8A29-BD63-47AF-BA25-48A092EFD46A}">
          <x14:formula1>
            <xm:f>Chassis!$H$3:$H$13</xm:f>
          </x14:formula1>
          <xm:sqref>B17 B5</xm:sqref>
        </x14:dataValidation>
        <x14:dataValidation type="list" allowBlank="1" showInputMessage="1" showErrorMessage="1" xr:uid="{BFE80B1B-6921-4EB0-9D06-3B6C4686539E}">
          <x14:formula1>
            <xm:f>Options!$C$9:$C$71</xm:f>
          </x14:formula1>
          <xm:sqref>A30:A34</xm:sqref>
        </x14:dataValidation>
        <x14:dataValidation type="list" allowBlank="1" showInputMessage="1" showErrorMessage="1" xr:uid="{6DE74958-BF61-4FB7-8D71-A61201DAF618}">
          <x14:formula1>
            <xm:f>Options!$C$9:$C$251</xm:f>
          </x14:formula1>
          <xm:sqref>A36:A56</xm:sqref>
        </x14:dataValidation>
        <x14:dataValidation type="list" allowBlank="1" showInputMessage="1" showErrorMessage="1" xr:uid="{1D683649-1C87-486A-A97F-FC5E19A67367}">
          <x14:formula1>
            <xm:f>Packages!$B$29:$B$68</xm:f>
          </x14:formula1>
          <xm:sqref>A73:A90</xm:sqref>
        </x14:dataValidation>
        <x14:dataValidation type="list" allowBlank="1" showInputMessage="1" showErrorMessage="1" xr:uid="{AC4D04BB-2C48-4F19-BB5A-465165C7ADA6}">
          <x14:formula1>
            <xm:f>Brains!$K$3:$K$16</xm:f>
          </x14:formula1>
          <xm:sqref>B65</xm:sqref>
        </x14:dataValidation>
        <x14:dataValidation type="list" allowBlank="1" showInputMessage="1" showErrorMessage="1" xr:uid="{AFF40A72-20EB-45B3-BB8C-11AFAC857221}">
          <x14:formula1>
            <xm:f>Brains!$B$3:$B$19</xm:f>
          </x14:formula1>
          <xm:sqref>B64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32A54-3D6B-4206-9539-5E8641DA8F50}">
  <sheetPr>
    <tabColor rgb="FF92D050"/>
  </sheetPr>
  <dimension ref="A1:Z110"/>
  <sheetViews>
    <sheetView workbookViewId="0">
      <pane ySplit="3" topLeftCell="A4" activePane="bottomLeft" state="frozen"/>
      <selection pane="bottomLeft" activeCell="B65" sqref="B65:D65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842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10148000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4</v>
      </c>
      <c r="E4" s="114">
        <f>_xlfn.XLOOKUP(B4,Size[Size],Size[Base Slots],,,)</f>
        <v>8</v>
      </c>
      <c r="F4" s="37">
        <f>B4+O2</f>
        <v>19</v>
      </c>
      <c r="G4" s="168" t="s">
        <v>299</v>
      </c>
      <c r="H4" s="168"/>
      <c r="I4" s="169"/>
      <c r="J4" s="108">
        <f>_xlfn.XLOOKUP(B4,Size[Size],Size[Base hits],,,)</f>
        <v>12</v>
      </c>
      <c r="K4" s="170" t="s">
        <v>727</v>
      </c>
      <c r="L4" s="171"/>
      <c r="M4" s="52">
        <f>_xlfn.XLOOKUP(B4,Size[Size],Size[Basic Cost],,,)</f>
        <v>800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(-1), </v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8000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Advanced Plus Broker Droid</v>
      </c>
      <c r="S6" s="143">
        <f>M11</f>
        <v>12</v>
      </c>
      <c r="T6" s="143" t="str">
        <f>B5</f>
        <v>Walker</v>
      </c>
      <c r="U6" s="143" t="str">
        <f>_xlfn.CONCAT(J14," m")</f>
        <v>5 m</v>
      </c>
      <c r="V6" s="144">
        <f>O2</f>
        <v>15</v>
      </c>
      <c r="W6" s="147">
        <f>P91</f>
        <v>11275650</v>
      </c>
      <c r="X6" s="151">
        <f>IF(I2="Standard Design",0.1,0)</f>
        <v>0.1</v>
      </c>
      <c r="Y6" s="152">
        <v>2</v>
      </c>
      <c r="Z6" s="147">
        <f>FLOOR(P91*(1-X6),100)</f>
        <v>10148000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Admin 6, Advocate 6, Broker 6, Carouse 6, Investigate 6, Persuade 6,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144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-1</v>
      </c>
      <c r="F9" s="37"/>
      <c r="G9" s="179" t="s">
        <v>302</v>
      </c>
      <c r="H9" s="179"/>
      <c r="I9" s="180"/>
      <c r="J9" s="51">
        <f>J8*(1+B9)</f>
        <v>288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500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9)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12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288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Small (-1), (idle), Heightened Senses,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Self-aware (INT 15)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288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 (broad spectrum), Transceiver 500 km (enhanced), Visual Spectrum Sensor, Voder Speaker, Wireless Data Link, Drone Interface, Encryption Module, Quick Charger, Storage Compartment (standard), Tightbeam Communicator, , , 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9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18</v>
      </c>
      <c r="K19" s="16"/>
      <c r="L19" s="60">
        <f t="shared" ref="L19:L28" si="5">D19+K19</f>
        <v>9</v>
      </c>
      <c r="M19" s="61">
        <f>IF(L19&gt;20,5,IF(L19&gt;17,4,IF(L19&gt;14,3,IF(L19&gt;11,2,IF(L19&gt;8,1,IF(L19&gt;5,0,IF(L19&gt;2,-1,-2)))))))</f>
        <v>1</v>
      </c>
      <c r="O19" s="12" t="str">
        <f>IF(I19&gt;0,_xlfn.CONCAT("Athletics (strength) ",I19,", "),"")</f>
        <v/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6">IF(B20=0,0,ROUNDUP($O$2/2+1,0))</f>
        <v>9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18</v>
      </c>
      <c r="K20" s="16"/>
      <c r="L20" s="6">
        <f t="shared" si="5"/>
        <v>9</v>
      </c>
      <c r="M20" s="61">
        <f t="shared" ref="M20:M28" si="7">IF(L20&gt;20,5,IF(L20&gt;17,4,IF(L20&gt;14,3,IF(L20&gt;11,2,IF(L20&gt;8,1,IF(L20&gt;5,0,IF(L20&gt;2,-1,-2)))))))</f>
        <v>1</v>
      </c>
      <c r="O20" s="12" t="str">
        <f t="shared" ref="O20:O28" si="8">IF(I20&gt;0,_xlfn.CONCAT("Athletics (strength) ",I20,", "),"")</f>
        <v/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640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1-100,000 Hz, -10dB</v>
      </c>
      <c r="I30" s="194"/>
      <c r="J30" s="194"/>
      <c r="K30" s="43">
        <f>_xlfn.XLOOKUP(A30,OptionsTable[Name],OptionsTable[TL],,,)</f>
        <v>8</v>
      </c>
      <c r="N30" s="5" t="str">
        <f>IF(_xlfn.XLOOKUP(A30,OptionsTable[Name],OptionsTable[Trait],,,)="","",_xlfn.XLOOKUP(A30,OptionsTable[Name],OptionsTable[Trait],,,))</f>
        <v xml:space="preserve">Heightened Senses, </v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200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469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11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500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232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0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/>
      </c>
      <c r="I37" s="194"/>
      <c r="J37" s="194"/>
      <c r="K37" s="43">
        <f>_xlfn.XLOOKUP(A37,OptionsTable[Name],OptionsTable[TL],,,)</f>
        <v>6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4000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641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-1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>1 hour recharge</v>
      </c>
      <c r="I38" s="194"/>
      <c r="J38" s="194"/>
      <c r="K38" s="43">
        <f>_xlfn.XLOOKUP(A38,OptionsTable[Name],OptionsTable[TL],,,)</f>
        <v>8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200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471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-3</v>
      </c>
      <c r="F39" s="37">
        <f>IF(_xlfn.XLOOKUP(A39,OptionsTable[Name],OptionsTable[xS],,,)=FALSE,1,IF($B$4&gt;0,$E$4,1))</f>
        <v>1</v>
      </c>
      <c r="G39" s="57">
        <v>3</v>
      </c>
      <c r="H39" s="193" t="str">
        <f>IF(_xlfn.XLOOKUP(A39,OptionsTable[Name],OptionsTable[Notes],,,)="","",_xlfn.XLOOKUP(A39,OptionsTable[Name],OptionsTable[Notes],,,))</f>
        <v>2 kg or litres / slot</v>
      </c>
      <c r="I39" s="194"/>
      <c r="J39" s="194"/>
      <c r="K39" s="43">
        <f>_xlfn.XLOOKUP(A39,OptionsTable[Name],OptionsTable[TL],,,)</f>
        <v>6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150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234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-1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8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2000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84</v>
      </c>
      <c r="C64" s="224"/>
      <c r="D64" s="224"/>
      <c r="E64" s="39">
        <f>IF(L64+K64-O2&gt;B4,-1,0)</f>
        <v>-1</v>
      </c>
      <c r="F64" s="37"/>
      <c r="H64" s="1">
        <f>_xlfn.XLOOKUP(B64,Brains[Programming/Control],Brains[Base INT],,,)</f>
        <v>12</v>
      </c>
      <c r="I64" s="31">
        <f>IF(H64&gt;17,4,IF(H64&gt;14,3,IF(H64&gt;11,2,IF(H64&gt;8,1,IF(H64&gt;5,0,IF(H64&gt;2,-1,-2))))))</f>
        <v>2</v>
      </c>
      <c r="J64" s="1">
        <f>_xlfn.XLOOKUP(B64,Brains[Programming/Control],Brains[Computer/X],,,)</f>
        <v>10</v>
      </c>
      <c r="K64" s="43">
        <f>_xlfn.XLOOKUP(B64,Brains[Programming/Control],Brains[TL],,,)</f>
        <v>15</v>
      </c>
      <c r="L64">
        <f>_xlfn.XLOOKUP(B64,Brains[Programming/Control],Brains[Computer/X],,,)</f>
        <v>10</v>
      </c>
      <c r="M64" s="12" t="str">
        <f>_xlfn.XLOOKUP(B64,Brains[Programming/Control],Brains[Base capability (built-in no bandwidth, cumulative)],,,)</f>
        <v>Near sentient, Expert/3, Security/3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163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15</v>
      </c>
      <c r="L65">
        <f>_xlfn.XLOOKUP(B65,Bandwidth[Minimum Base Brain],Bandwidth[Bandwidth],,,)+L64</f>
        <v>30</v>
      </c>
      <c r="M65" t="s">
        <v>310</v>
      </c>
      <c r="P65" s="136">
        <f>_xlfn.XLOOKUP(B65,Bandwidth[Minimum Base Brain],Bandwidth[Cost],,,)</f>
        <v>2500000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3</v>
      </c>
      <c r="E66" s="39"/>
      <c r="F66" s="37" cm="1">
        <f t="array" ref="F66">_xlfn.IFS(B66=0,0,B66=1,-1,B66=2,-3,B66=3,-6)</f>
        <v>-6</v>
      </c>
      <c r="H66" s="6">
        <f>H64+B66</f>
        <v>15</v>
      </c>
      <c r="I66" s="15">
        <f>IF(H66&gt;17,4,IF(H66&gt;14,3,IF(H66&gt;11,2,IF(H66&gt;8,1,IF(H66&gt;5,0,IF(H66&gt;2,-1,-2))))))</f>
        <v>3</v>
      </c>
      <c r="K66" s="43"/>
      <c r="L66" s="55">
        <f>L65+F66</f>
        <v>24</v>
      </c>
      <c r="M66" t="s">
        <v>310</v>
      </c>
      <c r="P66" s="136" cm="1">
        <f t="array" ref="P66">_xlfn.IFS(B66=0,0,B66=1,(H64+1)*1000,B66=2,(H64+1)*(H64+2)*1000,B66=3,(H64+1)*(H64+2)*(H64+3)*1000)*IF(H66&gt;11,2,1)</f>
        <v>5460000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10</v>
      </c>
      <c r="K67" s="42"/>
      <c r="L67" s="56">
        <f>L66-SUM(G69:G90)</f>
        <v>3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115</v>
      </c>
      <c r="B73" s="225"/>
      <c r="C73" s="226"/>
      <c r="D73" s="57">
        <v>3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3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11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Admin 6,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100000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118</v>
      </c>
      <c r="B74" s="193"/>
      <c r="C74" s="227"/>
      <c r="D74" s="57">
        <v>3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3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13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Advocate 6,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500000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121</v>
      </c>
      <c r="B75" s="193"/>
      <c r="C75" s="227"/>
      <c r="D75" s="57">
        <v>3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3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13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Broker 6,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200000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122</v>
      </c>
      <c r="B76" s="193"/>
      <c r="C76" s="227"/>
      <c r="D76" s="57">
        <v>3</v>
      </c>
      <c r="E76" s="39"/>
      <c r="G76" s="59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>4</v>
      </c>
      <c r="I76" s="58" t="str">
        <f>_xlfn.XLOOKUP(A76,StandardBrain[Name],StandardBrain[Characteristic],,,)</f>
        <v>INT</v>
      </c>
      <c r="K76" s="43">
        <f>_xlfn.XLOOKUP(A76,StandardBrain[Name],StandardBrain[TL],,,)+D76</f>
        <v>14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 xml:space="preserve">Carouse 6, </v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500000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127</v>
      </c>
      <c r="B77" s="193"/>
      <c r="C77" s="227"/>
      <c r="D77" s="57">
        <v>3</v>
      </c>
      <c r="E77" s="39"/>
      <c r="G77" s="59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>4</v>
      </c>
      <c r="I77" s="58" t="str">
        <f>_xlfn.XLOOKUP(A77,StandardBrain[Name],StandardBrain[Characteristic],,,)</f>
        <v>INT</v>
      </c>
      <c r="K77" s="43">
        <f>_xlfn.XLOOKUP(A77,StandardBrain[Name],StandardBrain[TL],,,)+D77</f>
        <v>14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 xml:space="preserve">Investigate 6, </v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500000</v>
      </c>
    </row>
    <row r="78" spans="1:26" ht="12" customHeight="1" x14ac:dyDescent="0.35">
      <c r="A78" s="30" t="s">
        <v>134</v>
      </c>
      <c r="B78" s="193"/>
      <c r="C78" s="227"/>
      <c r="D78" s="57">
        <v>3</v>
      </c>
      <c r="E78" s="39"/>
      <c r="G78" s="59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>4</v>
      </c>
      <c r="I78" s="58" t="str">
        <f>_xlfn.XLOOKUP(A78,StandardBrain[Name],StandardBrain[Characteristic],,,)</f>
        <v>INT</v>
      </c>
      <c r="K78" s="43">
        <f>_xlfn.XLOOKUP(A78,StandardBrain[Name],StandardBrain[TL],,,)+D78</f>
        <v>14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 xml:space="preserve">Persuade 6, </v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500000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11275650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10148000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1">
    <sortCondition ref="A36:A41"/>
  </sortState>
  <dataConsolidate/>
  <mergeCells count="114">
    <mergeCell ref="B90:C90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1:D71"/>
    <mergeCell ref="B73:C73"/>
    <mergeCell ref="B74:C74"/>
    <mergeCell ref="B75:C75"/>
    <mergeCell ref="B76:C76"/>
    <mergeCell ref="B77:C77"/>
    <mergeCell ref="A61:D61"/>
    <mergeCell ref="H61:I61"/>
    <mergeCell ref="B64:D64"/>
    <mergeCell ref="B65:D65"/>
    <mergeCell ref="B69:D69"/>
    <mergeCell ref="B70:D70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A37:D37"/>
    <mergeCell ref="H37:J37"/>
    <mergeCell ref="A38:D38"/>
    <mergeCell ref="H38:J38"/>
    <mergeCell ref="A45:D45"/>
    <mergeCell ref="H45:J45"/>
    <mergeCell ref="A46:D46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H32:J32"/>
    <mergeCell ref="A33:D33"/>
    <mergeCell ref="H33:J33"/>
    <mergeCell ref="A34:D34"/>
    <mergeCell ref="H34:J34"/>
    <mergeCell ref="H35:J35"/>
    <mergeCell ref="R14:R18"/>
    <mergeCell ref="S14:Z18"/>
    <mergeCell ref="R21:Z76"/>
    <mergeCell ref="B29:D29"/>
    <mergeCell ref="H29:J29"/>
    <mergeCell ref="A30:D30"/>
    <mergeCell ref="H30:J30"/>
    <mergeCell ref="A31:D31"/>
    <mergeCell ref="H31:J31"/>
    <mergeCell ref="A32:D32"/>
    <mergeCell ref="A39:D39"/>
    <mergeCell ref="H39:J39"/>
    <mergeCell ref="A40:D40"/>
    <mergeCell ref="H40:J40"/>
    <mergeCell ref="A41:D41"/>
    <mergeCell ref="H41:J41"/>
    <mergeCell ref="A36:D36"/>
    <mergeCell ref="H36:J36"/>
    <mergeCell ref="G11:H11"/>
    <mergeCell ref="K11:L11"/>
    <mergeCell ref="S11:Z11"/>
    <mergeCell ref="G12:O12"/>
    <mergeCell ref="S12:Z12"/>
    <mergeCell ref="S13:Z13"/>
    <mergeCell ref="G9:I9"/>
    <mergeCell ref="K9:M9"/>
    <mergeCell ref="S9:Z9"/>
    <mergeCell ref="G10:H10"/>
    <mergeCell ref="K10:M10"/>
    <mergeCell ref="S10:Z10"/>
    <mergeCell ref="G5:I5"/>
    <mergeCell ref="H6:N6"/>
    <mergeCell ref="G7:I7"/>
    <mergeCell ref="R7:R8"/>
    <mergeCell ref="S7:Z8"/>
    <mergeCell ref="G8:I8"/>
    <mergeCell ref="K8:M8"/>
    <mergeCell ref="B2:D2"/>
    <mergeCell ref="F2:H2"/>
    <mergeCell ref="I2:M2"/>
    <mergeCell ref="G3:J3"/>
    <mergeCell ref="G4:I4"/>
    <mergeCell ref="K4:L4"/>
  </mergeCells>
  <conditionalFormatting sqref="B14">
    <cfRule type="expression" dxfId="161" priority="6">
      <formula>ABS($J$14-6) &gt; 6</formula>
    </cfRule>
  </conditionalFormatting>
  <conditionalFormatting sqref="E2">
    <cfRule type="expression" dxfId="160" priority="4">
      <formula>$E$2&lt;0</formula>
    </cfRule>
  </conditionalFormatting>
  <conditionalFormatting sqref="E15:E17">
    <cfRule type="expression" dxfId="159" priority="1">
      <formula>AND($B$4=0,E15&lt;0)</formula>
    </cfRule>
  </conditionalFormatting>
  <conditionalFormatting sqref="K5 K30:K34 K36:K57 K59:K61 K64:K67 K73:K90">
    <cfRule type="expression" dxfId="158" priority="5">
      <formula>K5&gt;$O$2</formula>
    </cfRule>
  </conditionalFormatting>
  <conditionalFormatting sqref="L57">
    <cfRule type="expression" dxfId="157" priority="2">
      <formula>L57&gt;$O$2</formula>
    </cfRule>
  </conditionalFormatting>
  <conditionalFormatting sqref="L67">
    <cfRule type="expression" dxfId="156" priority="3">
      <formula>L67&lt;0</formula>
    </cfRule>
  </conditionalFormatting>
  <dataValidations count="20">
    <dataValidation type="whole" allowBlank="1" showInputMessage="1" showErrorMessage="1" error="Must be a negative number no less than a 50% of the base hits" sqref="B11" xr:uid="{4FD8C076-A85B-4A5B-9069-BE20215E1A82}">
      <formula1>-J4/2</formula1>
      <formula2>0</formula2>
    </dataValidation>
    <dataValidation type="whole" allowBlank="1" showInputMessage="1" showErrorMessage="1" error="Must be whole number. No more than 50% of slots may be used for Resiliency" sqref="B10" xr:uid="{6C329892-8FDC-4A8B-B0CD-31EB6EB1DB13}">
      <formula1>0</formula1>
      <formula2>E4/2</formula2>
    </dataValidation>
    <dataValidation type="whole" allowBlank="1" showInputMessage="1" showErrorMessage="1" sqref="E11" xr:uid="{1810B2F5-7DBE-4C2E-A918-786650C34098}">
      <formula1>0</formula1>
      <formula2>J4/2</formula2>
    </dataValidation>
    <dataValidation type="list" allowBlank="1" showInputMessage="1" showErrorMessage="1" error="Maximum = 3" sqref="B9" xr:uid="{DCDF7025-000B-4419-8097-98EC4749F56D}">
      <formula1>"0,1,2,3"</formula1>
    </dataValidation>
    <dataValidation type="list" allowBlank="1" showInputMessage="1" showErrorMessage="1" sqref="B4" xr:uid="{C057064D-02BA-4F90-9BE5-1F2767F521B0}">
      <formula1>"0,1,2,3,4,5,6,7,8"</formula1>
    </dataValidation>
    <dataValidation type="list" allowBlank="1" showInputMessage="1" showErrorMessage="1" sqref="O2" xr:uid="{94ADD124-C87B-41F0-AA0B-6BD4D70459FE}">
      <formula1>"7,8,9,10,11,12,13,14,15,16,17,18"</formula1>
    </dataValidation>
    <dataValidation type="whole" allowBlank="1" showInputMessage="1" showErrorMessage="1" error="Max Manipulator Size = Chassis Size +2_x000a_Min Manipulator Size = 0_x000a_Whole Numbers Only" sqref="B19:B26" xr:uid="{5D75BB97-7207-4D0F-9346-6CD74E149BF5}">
      <formula1>0</formula1>
      <formula2>$B$4+2</formula2>
    </dataValidation>
    <dataValidation type="list" allowBlank="1" showInputMessage="1" showErrorMessage="1" sqref="B27:B28 B67 B8" xr:uid="{8CD462EC-E580-4D39-A289-EC09F5F3262F}">
      <formula1>"TRUE,FALSE"</formula1>
    </dataValidation>
    <dataValidation type="list" allowBlank="1" showInputMessage="1" showErrorMessage="1" sqref="B13" xr:uid="{86CF91D4-9F42-4538-A2D3-2A0ABF7F2FCF}">
      <formula1>"0,1,2,3,4"</formula1>
    </dataValidation>
    <dataValidation type="list" allowBlank="1" showInputMessage="1" showErrorMessage="1" sqref="D73:D90 B66" xr:uid="{AB768568-25DB-42AF-A678-9BA1F6ABAA91}">
      <formula1>"0,1,2,3"</formula1>
    </dataValidation>
    <dataValidation type="list" allowBlank="1" showInputMessage="1" showErrorMessage="1" sqref="B15" xr:uid="{3C6FC526-7059-4F75-B5DC-20006DC66038}">
      <formula1>"FALSE,TRUE"</formula1>
    </dataValidation>
    <dataValidation type="list" allowBlank="1" showInputMessage="1" showErrorMessage="1" sqref="B16" xr:uid="{673F9148-46DE-4551-A4A2-A768EA86411D}">
      <formula1>"No,1X,2X,3X"</formula1>
    </dataValidation>
    <dataValidation type="whole" allowBlank="1" showInputMessage="1" showErrorMessage="1" error="Must be whole number between -6 and +12" sqref="B14" xr:uid="{4E40D479-7A53-4A21-BE4E-054FCEE137E5}">
      <formula1>-6</formula1>
      <formula2>12</formula2>
    </dataValidation>
    <dataValidation type="whole" allowBlank="1" showInputMessage="1" showErrorMessage="1" sqref="C11:D11" xr:uid="{94440329-3647-4366-80DF-CFDE8B03B9AD}">
      <formula1>0</formula1>
      <formula2>D4/2</formula2>
    </dataValidation>
    <dataValidation type="whole" allowBlank="1" showInputMessage="1" showErrorMessage="1" sqref="C13:D13" xr:uid="{6DC1F13A-2C70-41F8-B975-E5A72A49C65F}">
      <formula1>0</formula1>
      <formula2>D5/2</formula2>
    </dataValidation>
    <dataValidation type="whole" allowBlank="1" showInputMessage="1" showErrorMessage="1" sqref="C14:D14" xr:uid="{B0A0AA61-B0BA-4E6C-B15C-ED3D2617CD57}">
      <formula1>0</formula1>
      <formula2>D15/2</formula2>
    </dataValidation>
    <dataValidation type="whole" allowBlank="1" showInputMessage="1" showErrorMessage="1" sqref="E13:E14" xr:uid="{EDD928D9-D69E-4AE7-A908-953806A042BC}">
      <formula1>0</formula1>
      <formula2>#REF!/2</formula2>
    </dataValidation>
    <dataValidation type="whole" allowBlank="1" showInputMessage="1" showErrorMessage="1" error="Max STR = Lesser of Size + TL or SIZE X 4" sqref="G19:G28" xr:uid="{F4F2FA7B-713C-47BB-B5E2-F43A90F92A39}">
      <formula1>0</formula1>
      <formula2>F19-C19</formula2>
    </dataValidation>
    <dataValidation type="whole" allowBlank="1" showInputMessage="1" showErrorMessage="1" error="Max DEX = TL+3" sqref="K19:K28" xr:uid="{CE7BC72F-98D9-44C8-A309-94CDB807F031}">
      <formula1>0</formula1>
      <formula2>J19-D19</formula2>
    </dataValidation>
    <dataValidation type="whole" allowBlank="1" showInputMessage="1" showErrorMessage="1" error="Total Armour cannot exceed Maximum" sqref="B7" xr:uid="{50B99C55-B4F8-4CE8-82F7-AD4DE58CB061}">
      <formula1>-1</formula1>
      <formula2>L7-MID(A7,18,1)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BB1F2ED-0AC3-4154-8720-C7EDC410ABD7}">
          <x14:formula1>
            <xm:f>Brains!$B$3:$B$19</xm:f>
          </x14:formula1>
          <xm:sqref>B64</xm:sqref>
        </x14:dataValidation>
        <x14:dataValidation type="list" allowBlank="1" showInputMessage="1" showErrorMessage="1" xr:uid="{E90834A5-5C4B-4AEA-9DC8-CB6BB542D314}">
          <x14:formula1>
            <xm:f>Brains!$K$3:$K$16</xm:f>
          </x14:formula1>
          <xm:sqref>B65</xm:sqref>
        </x14:dataValidation>
        <x14:dataValidation type="list" allowBlank="1" showInputMessage="1" showErrorMessage="1" xr:uid="{3161F2A8-B563-42B7-841B-CE919BE3C3BC}">
          <x14:formula1>
            <xm:f>Packages!$B$29:$B$68</xm:f>
          </x14:formula1>
          <xm:sqref>A73:A90</xm:sqref>
        </x14:dataValidation>
        <x14:dataValidation type="list" allowBlank="1" showInputMessage="1" showErrorMessage="1" xr:uid="{842FBAE9-CCF3-4551-89EE-8913CAA23075}">
          <x14:formula1>
            <xm:f>Options!$C$9:$C$251</xm:f>
          </x14:formula1>
          <xm:sqref>A36:A56</xm:sqref>
        </x14:dataValidation>
        <x14:dataValidation type="list" allowBlank="1" showInputMessage="1" showErrorMessage="1" xr:uid="{52B26C27-7EFC-4AB8-9CD7-4322FDC72137}">
          <x14:formula1>
            <xm:f>Options!$C$9:$C$71</xm:f>
          </x14:formula1>
          <xm:sqref>A30:A34</xm:sqref>
        </x14:dataValidation>
        <x14:dataValidation type="list" allowBlank="1" showInputMessage="1" showErrorMessage="1" xr:uid="{A9FB99BA-1F22-4AF9-817A-E18AB2923809}">
          <x14:formula1>
            <xm:f>Chassis!$H$3:$H$13</xm:f>
          </x14:formula1>
          <xm:sqref>B17 B5</xm:sqref>
        </x14:dataValidation>
        <x14:dataValidation type="list" allowBlank="1" showInputMessage="1" showErrorMessage="1" xr:uid="{130D1FEB-E606-42FC-ACD6-15EE947BD99B}">
          <x14:formula1>
            <xm:f>Packages!$B$11:$B$19</xm:f>
          </x14:formula1>
          <xm:sqref>B70</xm:sqref>
        </x14:dataValidation>
        <x14:dataValidation type="list" allowBlank="1" showInputMessage="1" showErrorMessage="1" xr:uid="{BC63E24C-5010-4A33-A6DE-19B10CF24688}">
          <x14:formula1>
            <xm:f>Packages!$B$3:$B$7</xm:f>
          </x14:formula1>
          <xm:sqref>B69</xm:sqref>
        </x14:dataValidation>
        <x14:dataValidation type="list" allowBlank="1" showInputMessage="1" showErrorMessage="1" xr:uid="{F7085187-FF75-4EA7-A74F-2FA4573C6266}">
          <x14:formula1>
            <xm:f>Packages!$B$23:$B$25</xm:f>
          </x14:formula1>
          <xm:sqref>B71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8FCF4-4192-46AB-87A6-430004FE11CA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823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54200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5</v>
      </c>
      <c r="E4" s="114">
        <f>_xlfn.XLOOKUP(B4,Size[Size],Size[Base Slots],,,)</f>
        <v>16</v>
      </c>
      <c r="F4" s="37">
        <f>B4+O2</f>
        <v>17</v>
      </c>
      <c r="G4" s="168" t="s">
        <v>299</v>
      </c>
      <c r="H4" s="168"/>
      <c r="I4" s="169"/>
      <c r="J4" s="108">
        <f>_xlfn.XLOOKUP(B4,Size[Size],Size[Base hits],,,)</f>
        <v>20</v>
      </c>
      <c r="K4" s="170" t="s">
        <v>727</v>
      </c>
      <c r="L4" s="171"/>
      <c r="M4" s="52">
        <f>_xlfn.XLOOKUP(B4,Size[Size],Size[Basic Cost],,,)</f>
        <v>1000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/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10000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Basic Engineer Droid</v>
      </c>
      <c r="S6" s="143">
        <f>M11</f>
        <v>20</v>
      </c>
      <c r="T6" s="143" t="str">
        <f>B5</f>
        <v>Walker</v>
      </c>
      <c r="U6" s="143" t="str">
        <f>_xlfn.CONCAT(J14," m")</f>
        <v>5 m</v>
      </c>
      <c r="V6" s="144">
        <f>O2</f>
        <v>12</v>
      </c>
      <c r="W6" s="147">
        <f>P91</f>
        <v>60300</v>
      </c>
      <c r="X6" s="151">
        <f>IF(I2="Standard Design",0.1,0)</f>
        <v>0.1</v>
      </c>
      <c r="Y6" s="152">
        <v>2</v>
      </c>
      <c r="Z6" s="147">
        <f>FLOOR(P91*(1-X6),100)</f>
        <v>54200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4</v>
      </c>
      <c r="E7" s="114" cm="1">
        <f t="array" ref="E7">IF(ROUNDUP(_xlfn.XLOOKUP($O$2,Armour[TL],Armour[Slots]*B7*E4,,,),0)&lt;B7/F7,-ROUNDUP(B7/F7,0),-ROUNDUP(_xlfn.XLOOKUP($O$2,Armour[TL],Armour[Slots]*B7*E4,,,),0))</f>
        <v>-2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8</v>
      </c>
      <c r="K7" s="92" t="s">
        <v>313</v>
      </c>
      <c r="L7" s="51">
        <f>_xlfn.XLOOKUP($O$2,Armour[TL],Armour[Max],,,)</f>
        <v>40</v>
      </c>
      <c r="N7" s="5" t="str">
        <f>_xlfn.CONCAT("Armour (+",IF(COUNT(L36:L56)&gt;0,0+B7, _xlfn.XLOOKUP($O$2,Armour[TL],Armour[Base],,,)+B7+IF(B4=0,-2,0)),"), ")</f>
        <v xml:space="preserve">Armour (+8), </v>
      </c>
      <c r="P7" s="136" cm="1">
        <f t="array" ref="P7">IF(B7&gt;-1,_xlfn.XLOOKUP($O$2,Armour[TL],-Armour[Cost/Slot]*E7,,,),-P5*0.1)</f>
        <v>3000</v>
      </c>
      <c r="R7" s="213" t="s">
        <v>90</v>
      </c>
      <c r="S7" s="232" t="str">
        <f>_xlfn.CONCAT(O9,O13,O19:O28,O30:O34,O36:O57,O64,O69:O71,O73:O90)</f>
        <v xml:space="preserve">Athletics (endurance) 1, Athletics (strength) 1, Athletics (strength) 1, Engineer () 0, Mechanic 1,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108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-2</v>
      </c>
      <c r="F9" s="37"/>
      <c r="G9" s="179" t="s">
        <v>302</v>
      </c>
      <c r="H9" s="179"/>
      <c r="I9" s="180"/>
      <c r="J9" s="51">
        <f>J8*(1+B9)</f>
        <v>216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1000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9 DEX 7)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20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216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(+8), ATV, (idle), IR/UV Vision,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Advanced (INT 8)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216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(improved), PRIS Sensor, Voder Speaker, Wireless Data Link, Cutting Torch (improved), Drone Interface, Fire Extinguisher, Gecko Grippers, Quick Charger, Starship Engineer Toolkit (improved), Storage Compartment (standard), Vacuum Environment Protection,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5</v>
      </c>
      <c r="C19" s="60">
        <f t="shared" ref="C19:C26" si="0">IF(B19=0,0,B19*2-1)</f>
        <v>9</v>
      </c>
      <c r="D19" s="95">
        <f>ROUNDUP($O$2/2+1,0)</f>
        <v>7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18</v>
      </c>
      <c r="G19" s="16"/>
      <c r="H19" s="60">
        <f t="shared" ref="H19:H28" si="2">C19+G19</f>
        <v>9</v>
      </c>
      <c r="I19" s="61">
        <f t="shared" ref="I19:I28" si="3">IF(H19&gt;17,4,IF(H19&gt;14,3,IF(H19&gt;11,2,IF(H19&gt;8,1,IF(H19&gt;5,0,IF(H19&gt;2,-1,-2))))))</f>
        <v>1</v>
      </c>
      <c r="J19" s="53">
        <f t="shared" ref="J19:J28" si="4">$O$2+3</f>
        <v>15</v>
      </c>
      <c r="K19" s="16"/>
      <c r="L19" s="60">
        <f t="shared" ref="L19:L28" si="5">D19+K19</f>
        <v>7</v>
      </c>
      <c r="M19" s="61">
        <f>IF(L19&gt;20,5,IF(L19&gt;17,4,IF(L19&gt;14,3,IF(L19&gt;11,2,IF(L19&gt;8,1,IF(L19&gt;5,0,IF(L19&gt;2,-1,-2)))))))</f>
        <v>0</v>
      </c>
      <c r="O19" s="12" t="str">
        <f>IF(I19&gt;0,_xlfn.CONCAT("Athletics (strength) ",I19,", "),"")</f>
        <v xml:space="preserve">Athletics (strength) 1, </v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5</v>
      </c>
      <c r="C20" s="6">
        <f t="shared" si="0"/>
        <v>9</v>
      </c>
      <c r="D20" s="96">
        <f t="shared" ref="D20:D26" si="6">IF(B20=0,0,ROUNDUP($O$2/2+1,0))</f>
        <v>7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18</v>
      </c>
      <c r="G20" s="16"/>
      <c r="H20" s="6">
        <f t="shared" si="2"/>
        <v>9</v>
      </c>
      <c r="I20" s="21">
        <f t="shared" si="3"/>
        <v>1</v>
      </c>
      <c r="J20" s="53">
        <f t="shared" si="4"/>
        <v>15</v>
      </c>
      <c r="K20" s="16"/>
      <c r="L20" s="6">
        <f t="shared" si="5"/>
        <v>7</v>
      </c>
      <c r="M20" s="61">
        <f t="shared" ref="M20:M28" si="7">IF(L20&gt;20,5,IF(L20&gt;17,4,IF(L20&gt;14,3,IF(L20&gt;11,2,IF(L20&gt;8,1,IF(L20&gt;5,0,IF(L20&gt;2,-1,-2)))))))</f>
        <v>0</v>
      </c>
      <c r="O20" s="12" t="str">
        <f t="shared" ref="O20:O28" si="8">IF(I20&gt;0,_xlfn.CONCAT("Athletics (strength) ",I20,", "),"")</f>
        <v xml:space="preserve">Athletics (strength) 1, </v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15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15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15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15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15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15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15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15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464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8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12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>+ Geiger counter</v>
      </c>
      <c r="I32" s="194"/>
      <c r="J32" s="194"/>
      <c r="K32" s="43">
        <f>_xlfn.XLOOKUP(A32,OptionsTable[Name],OptionsTable[TL],,,)</f>
        <v>12</v>
      </c>
      <c r="N32" s="5" t="str">
        <f>IF(_xlfn.XLOOKUP(A32,OptionsTable[Name],OptionsTable[Trait],,,)="","",_xlfn.XLOOKUP(A32,OptionsTable[Name],OptionsTable[Trait],,,))</f>
        <v xml:space="preserve">IR/UV Vision, </v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2000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611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-2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9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5000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284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0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/>
      </c>
      <c r="I37" s="194"/>
      <c r="J37" s="194"/>
      <c r="K37" s="43">
        <f>_xlfn.XLOOKUP(A37,OptionsTable[Name],OptionsTable[TL],,,)</f>
        <v>6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100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560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-1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/>
      </c>
      <c r="I38" s="194"/>
      <c r="J38" s="194"/>
      <c r="K38" s="43">
        <f>_xlfn.XLOOKUP(A38,OptionsTable[Name],OptionsTable[TL],,,)</f>
        <v>5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100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291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16</v>
      </c>
      <c r="G39" s="57"/>
      <c r="H39" s="193" t="str">
        <f>IF(_xlfn.XLOOKUP(A39,OptionsTable[Name],OptionsTable[Notes],,,)="","",_xlfn.XLOOKUP(A39,OptionsTable[Name],OptionsTable[Notes],,,))</f>
        <v/>
      </c>
      <c r="I39" s="194"/>
      <c r="J39" s="194"/>
      <c r="K39" s="43">
        <f>_xlfn.XLOOKUP(A39,OptionsTable[Name],OptionsTable[TL],,,)</f>
        <v>9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8000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641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-1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>1 hour recharge</v>
      </c>
      <c r="I40" s="194"/>
      <c r="J40" s="194"/>
      <c r="K40" s="43">
        <f>_xlfn.XLOOKUP(A40,OptionsTable[Name],OptionsTable[TL],,,)</f>
        <v>8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200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 t="s">
        <v>205</v>
      </c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-5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>1 max skill</v>
      </c>
      <c r="I41" s="194"/>
      <c r="J41" s="194"/>
      <c r="K41" s="43">
        <f>_xlfn.XLOOKUP(A41,OptionsTable[Name],OptionsTable[TL],,,)</f>
        <v>10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2000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 t="s">
        <v>471</v>
      </c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-2</v>
      </c>
      <c r="F42" s="37">
        <f>IF(_xlfn.XLOOKUP(A42,OptionsTable[Name],OptionsTable[xS],,,)=FALSE,1,IF($B$4&gt;0,$E$4,1))</f>
        <v>1</v>
      </c>
      <c r="G42" s="57">
        <v>2</v>
      </c>
      <c r="H42" s="193" t="str">
        <f>IF(_xlfn.XLOOKUP(A42,OptionsTable[Name],OptionsTable[Notes],,,)="","",_xlfn.XLOOKUP(A42,OptionsTable[Name],OptionsTable[Notes],,,))</f>
        <v>2 kg or litres / slot</v>
      </c>
      <c r="I42" s="194"/>
      <c r="J42" s="194"/>
      <c r="K42" s="43">
        <f>_xlfn.XLOOKUP(A42,OptionsTable[Name],OptionsTable[TL],,,)</f>
        <v>6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100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 t="s">
        <v>100</v>
      </c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16</v>
      </c>
      <c r="G43" s="57"/>
      <c r="H43" s="193" t="str">
        <f>IF(_xlfn.XLOOKUP(A43,OptionsTable[Name],OptionsTable[Notes],,,)="","",_xlfn.XLOOKUP(A43,OptionsTable[Name],OptionsTable[Notes],,,))</f>
        <v>+ Hostile env</v>
      </c>
      <c r="I43" s="194"/>
      <c r="J43" s="194"/>
      <c r="K43" s="43">
        <f>_xlfn.XLOOKUP(A43,OptionsTable[Name],OptionsTable[TL],,,)</f>
        <v>6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9600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80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8</v>
      </c>
      <c r="I64" s="31">
        <f>IF(H64&gt;17,4,IF(H64&gt;14,3,IF(H64&gt;11,2,IF(H64&gt;8,1,IF(H64&gt;5,0,IF(H64&gt;2,-1,-2))))))</f>
        <v>0</v>
      </c>
      <c r="J64" s="1">
        <f>_xlfn.XLOOKUP(B64,Brains[Programming/Control],Brains[Computer/X],,,)</f>
        <v>2</v>
      </c>
      <c r="K64" s="43">
        <f>_xlfn.XLOOKUP(B64,Brains[Programming/Control],Brains[TL],,,)</f>
        <v>12</v>
      </c>
      <c r="L64">
        <f>_xlfn.XLOOKUP(B64,Brains[Programming/Control],Brains[Computer/X],,,)</f>
        <v>2</v>
      </c>
      <c r="M64" s="12" t="str">
        <f>_xlfn.XLOOKUP(B64,Brains[Programming/Control],Brains[Base capability (built-in no bandwidth, cumulative)],,,)</f>
        <v>Intelligent Interface, Expert/1, Security/1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156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10</v>
      </c>
      <c r="L65">
        <f>_xlfn.XLOOKUP(B65,Bandwidth[Minimum Base Brain],Bandwidth[Bandwidth],,,)+L64</f>
        <v>4</v>
      </c>
      <c r="M65" t="s">
        <v>310</v>
      </c>
      <c r="P65" s="136">
        <f>_xlfn.XLOOKUP(B65,Bandwidth[Minimum Base Brain],Bandwidth[Cost],,,)</f>
        <v>5000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8</v>
      </c>
      <c r="I66" s="15">
        <f>IF(H66&gt;17,4,IF(H66&gt;14,3,IF(H66&gt;11,2,IF(H66&gt;8,1,IF(H66&gt;5,0,IF(H66&gt;2,-1,-2))))))</f>
        <v>0</v>
      </c>
      <c r="K66" s="43"/>
      <c r="L66" s="55">
        <f>L65+F66</f>
        <v>4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1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30" t="s">
        <v>149</v>
      </c>
      <c r="B73" s="225"/>
      <c r="C73" s="226"/>
      <c r="D73" s="57">
        <v>0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0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9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Engineer () 0,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200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130</v>
      </c>
      <c r="B74" s="193" t="s">
        <v>794</v>
      </c>
      <c r="C74" s="227"/>
      <c r="D74" s="57">
        <v>1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4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9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Mechanic 1,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4000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117</v>
      </c>
      <c r="B75" s="193"/>
      <c r="C75" s="227"/>
      <c r="D75" s="57"/>
      <c r="E75" s="39"/>
      <c r="G75" s="59" t="str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/>
      </c>
      <c r="I75" s="58" t="str">
        <f>_xlfn.XLOOKUP(A75,StandardBrain[Name],StandardBrain[Characteristic],,,)</f>
        <v xml:space="preserve"> </v>
      </c>
      <c r="K75" s="43">
        <f>_xlfn.XLOOKUP(A75,StandardBrain[Name],StandardBrain[TL],,,)+D75</f>
        <v>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/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60300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54200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3">
    <sortCondition ref="A36:A43"/>
  </sortState>
  <dataConsolidate/>
  <mergeCells count="114">
    <mergeCell ref="B90:C90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1:D71"/>
    <mergeCell ref="B73:C73"/>
    <mergeCell ref="B74:C74"/>
    <mergeCell ref="B75:C75"/>
    <mergeCell ref="B76:C76"/>
    <mergeCell ref="B77:C77"/>
    <mergeCell ref="A61:D61"/>
    <mergeCell ref="H61:I61"/>
    <mergeCell ref="B64:D64"/>
    <mergeCell ref="B65:D65"/>
    <mergeCell ref="B69:D69"/>
    <mergeCell ref="B70:D70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A37:D37"/>
    <mergeCell ref="H37:J37"/>
    <mergeCell ref="A38:D38"/>
    <mergeCell ref="H38:J38"/>
    <mergeCell ref="A45:D45"/>
    <mergeCell ref="H45:J45"/>
    <mergeCell ref="A46:D46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H32:J32"/>
    <mergeCell ref="A33:D33"/>
    <mergeCell ref="H33:J33"/>
    <mergeCell ref="A34:D34"/>
    <mergeCell ref="H34:J34"/>
    <mergeCell ref="H35:J35"/>
    <mergeCell ref="R14:R18"/>
    <mergeCell ref="S14:Z18"/>
    <mergeCell ref="R21:Z76"/>
    <mergeCell ref="B29:D29"/>
    <mergeCell ref="H29:J29"/>
    <mergeCell ref="A30:D30"/>
    <mergeCell ref="H30:J30"/>
    <mergeCell ref="A31:D31"/>
    <mergeCell ref="H31:J31"/>
    <mergeCell ref="A32:D32"/>
    <mergeCell ref="A39:D39"/>
    <mergeCell ref="H39:J39"/>
    <mergeCell ref="A40:D40"/>
    <mergeCell ref="H40:J40"/>
    <mergeCell ref="A41:D41"/>
    <mergeCell ref="H41:J41"/>
    <mergeCell ref="A36:D36"/>
    <mergeCell ref="H36:J36"/>
    <mergeCell ref="G11:H11"/>
    <mergeCell ref="K11:L11"/>
    <mergeCell ref="S11:Z11"/>
    <mergeCell ref="G12:O12"/>
    <mergeCell ref="S12:Z12"/>
    <mergeCell ref="S13:Z13"/>
    <mergeCell ref="G9:I9"/>
    <mergeCell ref="K9:M9"/>
    <mergeCell ref="S9:Z9"/>
    <mergeCell ref="G10:H10"/>
    <mergeCell ref="K10:M10"/>
    <mergeCell ref="S10:Z10"/>
    <mergeCell ref="G5:I5"/>
    <mergeCell ref="H6:N6"/>
    <mergeCell ref="G7:I7"/>
    <mergeCell ref="R7:R8"/>
    <mergeCell ref="S7:Z8"/>
    <mergeCell ref="G8:I8"/>
    <mergeCell ref="K8:M8"/>
    <mergeCell ref="B2:D2"/>
    <mergeCell ref="F2:H2"/>
    <mergeCell ref="I2:M2"/>
    <mergeCell ref="G3:J3"/>
    <mergeCell ref="G4:I4"/>
    <mergeCell ref="K4:L4"/>
  </mergeCells>
  <conditionalFormatting sqref="B14">
    <cfRule type="expression" dxfId="155" priority="6">
      <formula>ABS($J$14-6) &gt; 6</formula>
    </cfRule>
  </conditionalFormatting>
  <conditionalFormatting sqref="E2">
    <cfRule type="expression" dxfId="154" priority="4">
      <formula>$E$2&lt;0</formula>
    </cfRule>
  </conditionalFormatting>
  <conditionalFormatting sqref="E15:E17">
    <cfRule type="expression" dxfId="153" priority="1">
      <formula>AND($B$4=0,E15&lt;0)</formula>
    </cfRule>
  </conditionalFormatting>
  <conditionalFormatting sqref="K5 K30:K34 K36:K57 K59:K61 K64:K67 K73:K90">
    <cfRule type="expression" dxfId="152" priority="5">
      <formula>K5&gt;$O$2</formula>
    </cfRule>
  </conditionalFormatting>
  <conditionalFormatting sqref="L57">
    <cfRule type="expression" dxfId="151" priority="2">
      <formula>L57&gt;$O$2</formula>
    </cfRule>
  </conditionalFormatting>
  <conditionalFormatting sqref="L67">
    <cfRule type="expression" dxfId="150" priority="3">
      <formula>L67&lt;0</formula>
    </cfRule>
  </conditionalFormatting>
  <dataValidations count="20">
    <dataValidation type="whole" allowBlank="1" showInputMessage="1" showErrorMessage="1" error="Must be a negative number no less than a 50% of the base hits" sqref="B11" xr:uid="{E9C19A3F-3D61-44FF-8685-78BD912F1A70}">
      <formula1>-J4/2</formula1>
      <formula2>0</formula2>
    </dataValidation>
    <dataValidation type="whole" allowBlank="1" showInputMessage="1" showErrorMessage="1" error="Must be whole number. No more than 50% of slots may be used for Resiliency" sqref="B10" xr:uid="{3967A821-09F1-428A-8ACE-7F6352C0769B}">
      <formula1>0</formula1>
      <formula2>E4/2</formula2>
    </dataValidation>
    <dataValidation type="whole" allowBlank="1" showInputMessage="1" showErrorMessage="1" sqref="E11" xr:uid="{B2385AD1-D228-4364-B208-5BBAFBC3988C}">
      <formula1>0</formula1>
      <formula2>J4/2</formula2>
    </dataValidation>
    <dataValidation type="list" allowBlank="1" showInputMessage="1" showErrorMessage="1" error="Maximum = 3" sqref="B9" xr:uid="{825D30E4-67F0-4E61-962E-4FB82CAE421C}">
      <formula1>"0,1,2,3"</formula1>
    </dataValidation>
    <dataValidation type="list" allowBlank="1" showInputMessage="1" showErrorMessage="1" sqref="B4" xr:uid="{FEDD3D77-BC21-4DD3-80C5-9450BF7FBCAC}">
      <formula1>"0,1,2,3,4,5,6,7,8"</formula1>
    </dataValidation>
    <dataValidation type="list" allowBlank="1" showInputMessage="1" showErrorMessage="1" sqref="O2" xr:uid="{07618175-A29E-454F-A2AB-9FB999D1E860}">
      <formula1>"7,8,9,10,11,12,13,14,15,16,17,18"</formula1>
    </dataValidation>
    <dataValidation type="whole" allowBlank="1" showInputMessage="1" showErrorMessage="1" error="Max Manipulator Size = Chassis Size +2_x000a_Min Manipulator Size = 0_x000a_Whole Numbers Only" sqref="B19:B26" xr:uid="{DB123738-3511-413B-9A9D-F12BF509C98C}">
      <formula1>0</formula1>
      <formula2>$B$4+2</formula2>
    </dataValidation>
    <dataValidation type="list" allowBlank="1" showInputMessage="1" showErrorMessage="1" sqref="B27:B28 B67 B8" xr:uid="{24240BE5-AAE9-4F38-81E4-5ACA371B4077}">
      <formula1>"TRUE,FALSE"</formula1>
    </dataValidation>
    <dataValidation type="list" allowBlank="1" showInputMessage="1" showErrorMessage="1" sqref="B13" xr:uid="{017ECF8A-FC5A-44B9-98A7-B197FDC4F0AF}">
      <formula1>"0,1,2,3,4"</formula1>
    </dataValidation>
    <dataValidation type="list" allowBlank="1" showInputMessage="1" showErrorMessage="1" sqref="D73:D90 B66" xr:uid="{F1038D72-FCB4-4DD0-9067-B3BA3774C47E}">
      <formula1>"0,1,2,3"</formula1>
    </dataValidation>
    <dataValidation type="list" allowBlank="1" showInputMessage="1" showErrorMessage="1" sqref="B15" xr:uid="{EC8BF4A0-D322-4980-A07E-D4F701E6A9AF}">
      <formula1>"FALSE,TRUE"</formula1>
    </dataValidation>
    <dataValidation type="list" allowBlank="1" showInputMessage="1" showErrorMessage="1" sqref="B16" xr:uid="{23C93942-D3EF-48EC-A7CF-A84190428973}">
      <formula1>"No,1X,2X,3X"</formula1>
    </dataValidation>
    <dataValidation type="whole" allowBlank="1" showInputMessage="1" showErrorMessage="1" error="Must be whole number between -6 and +12" sqref="B14" xr:uid="{FC733204-3D0C-4783-B7D9-084802949576}">
      <formula1>-6</formula1>
      <formula2>12</formula2>
    </dataValidation>
    <dataValidation type="whole" allowBlank="1" showInputMessage="1" showErrorMessage="1" sqref="C11:D11" xr:uid="{DBFFB60B-FB93-45FD-A4D7-2CF58C8269DB}">
      <formula1>0</formula1>
      <formula2>D4/2</formula2>
    </dataValidation>
    <dataValidation type="whole" allowBlank="1" showInputMessage="1" showErrorMessage="1" sqref="C13:D13" xr:uid="{C46DA09E-4AA2-4A16-A085-AC21AA6C3F0D}">
      <formula1>0</formula1>
      <formula2>D5/2</formula2>
    </dataValidation>
    <dataValidation type="whole" allowBlank="1" showInputMessage="1" showErrorMessage="1" sqref="C14:D14" xr:uid="{E3D968B8-D130-461F-8C04-847A925F89D4}">
      <formula1>0</formula1>
      <formula2>D15/2</formula2>
    </dataValidation>
    <dataValidation type="whole" allowBlank="1" showInputMessage="1" showErrorMessage="1" sqref="E13:E14" xr:uid="{50E01F17-A685-4957-9686-BC362E502642}">
      <formula1>0</formula1>
      <formula2>#REF!/2</formula2>
    </dataValidation>
    <dataValidation type="whole" allowBlank="1" showInputMessage="1" showErrorMessage="1" error="Max STR = Lesser of Size + TL or SIZE X 4" sqref="G19:G28" xr:uid="{3E573C9E-3E75-42A9-801A-A9C1C899135A}">
      <formula1>0</formula1>
      <formula2>F19-C19</formula2>
    </dataValidation>
    <dataValidation type="whole" allowBlank="1" showInputMessage="1" showErrorMessage="1" error="Max DEX = TL+3" sqref="K19:K28" xr:uid="{7E17688D-3B88-48CC-BE37-2B3C26004304}">
      <formula1>0</formula1>
      <formula2>J19-D19</formula2>
    </dataValidation>
    <dataValidation type="whole" allowBlank="1" showInputMessage="1" showErrorMessage="1" error="Total Armour cannot exceed Maximum" sqref="B7" xr:uid="{10E500FE-866C-488C-B249-034139087D7D}">
      <formula1>-1</formula1>
      <formula2>L7-MID(A7,18,1)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7FC7AE4-E8CE-4D3C-BBCA-F5B4944547A8}">
          <x14:formula1>
            <xm:f>Brains!$B$3:$B$19</xm:f>
          </x14:formula1>
          <xm:sqref>B64</xm:sqref>
        </x14:dataValidation>
        <x14:dataValidation type="list" allowBlank="1" showInputMessage="1" showErrorMessage="1" xr:uid="{79791227-B51F-45F0-BE41-D0D1BA20CBBB}">
          <x14:formula1>
            <xm:f>Brains!$K$3:$K$16</xm:f>
          </x14:formula1>
          <xm:sqref>B65</xm:sqref>
        </x14:dataValidation>
        <x14:dataValidation type="list" allowBlank="1" showInputMessage="1" showErrorMessage="1" xr:uid="{FC6A26DF-BDCD-49E2-A89C-46196B7A430C}">
          <x14:formula1>
            <xm:f>Packages!$B$29:$B$68</xm:f>
          </x14:formula1>
          <xm:sqref>A73:A90</xm:sqref>
        </x14:dataValidation>
        <x14:dataValidation type="list" allowBlank="1" showInputMessage="1" showErrorMessage="1" xr:uid="{D50F6DBD-287E-403F-BD08-FAAE9B7B885C}">
          <x14:formula1>
            <xm:f>Options!$C$9:$C$251</xm:f>
          </x14:formula1>
          <xm:sqref>A36:A56</xm:sqref>
        </x14:dataValidation>
        <x14:dataValidation type="list" allowBlank="1" showInputMessage="1" showErrorMessage="1" xr:uid="{A1B11AC1-73C2-4C48-AB64-E3CDAFBF32C9}">
          <x14:formula1>
            <xm:f>Options!$C$9:$C$71</xm:f>
          </x14:formula1>
          <xm:sqref>A30:A34</xm:sqref>
        </x14:dataValidation>
        <x14:dataValidation type="list" allowBlank="1" showInputMessage="1" showErrorMessage="1" xr:uid="{90A019B8-13FA-4322-BBBE-A3A34D1161B4}">
          <x14:formula1>
            <xm:f>Chassis!$H$3:$H$13</xm:f>
          </x14:formula1>
          <xm:sqref>B17 B5</xm:sqref>
        </x14:dataValidation>
        <x14:dataValidation type="list" allowBlank="1" showInputMessage="1" showErrorMessage="1" xr:uid="{55F8517C-0179-4B12-8130-4168EBFD26EF}">
          <x14:formula1>
            <xm:f>Packages!$B$11:$B$19</xm:f>
          </x14:formula1>
          <xm:sqref>B70</xm:sqref>
        </x14:dataValidation>
        <x14:dataValidation type="list" allowBlank="1" showInputMessage="1" showErrorMessage="1" xr:uid="{C4F5326C-5D5A-4929-853D-39D084229E46}">
          <x14:formula1>
            <xm:f>Packages!$B$3:$B$7</xm:f>
          </x14:formula1>
          <xm:sqref>B69</xm:sqref>
        </x14:dataValidation>
        <x14:dataValidation type="list" allowBlank="1" showInputMessage="1" showErrorMessage="1" xr:uid="{9196CF12-B1E3-4A59-8800-6883B2774917}">
          <x14:formula1>
            <xm:f>Packages!$B$23:$B$25</xm:f>
          </x14:formula1>
          <xm:sqref>B71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EBD70-F33D-44AD-9071-AFAFE8AE6C11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822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80400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5</v>
      </c>
      <c r="E4" s="114">
        <f>_xlfn.XLOOKUP(B4,Size[Size],Size[Base Slots],,,)</f>
        <v>16</v>
      </c>
      <c r="F4" s="37">
        <f>B4+O2</f>
        <v>17</v>
      </c>
      <c r="G4" s="168" t="s">
        <v>299</v>
      </c>
      <c r="H4" s="168"/>
      <c r="I4" s="169"/>
      <c r="J4" s="108">
        <f>_xlfn.XLOOKUP(B4,Size[Size],Size[Base hits],,,)</f>
        <v>20</v>
      </c>
      <c r="K4" s="170" t="s">
        <v>727</v>
      </c>
      <c r="L4" s="171"/>
      <c r="M4" s="52">
        <f>_xlfn.XLOOKUP(B4,Size[Size],Size[Basic Cost],,,)</f>
        <v>1000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/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10000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Improved Engineer Droid</v>
      </c>
      <c r="S6" s="143">
        <f>M11</f>
        <v>20</v>
      </c>
      <c r="T6" s="143" t="str">
        <f>B5</f>
        <v>Walker</v>
      </c>
      <c r="U6" s="143" t="str">
        <f>_xlfn.CONCAT(J14," m")</f>
        <v>5 m</v>
      </c>
      <c r="V6" s="144">
        <f>O2</f>
        <v>12</v>
      </c>
      <c r="W6" s="147">
        <f>P91</f>
        <v>89400</v>
      </c>
      <c r="X6" s="151">
        <f>IF(I2="Standard Design",0.1,0)</f>
        <v>0.1</v>
      </c>
      <c r="Y6" s="152">
        <v>2</v>
      </c>
      <c r="Z6" s="147">
        <f>FLOOR(P91*(1-X6),100)</f>
        <v>80400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4</v>
      </c>
      <c r="E7" s="114" cm="1">
        <f t="array" ref="E7">IF(ROUNDUP(_xlfn.XLOOKUP($O$2,Armour[TL],Armour[Slots]*B7*E4,,,),0)&lt;B7/F7,-ROUNDUP(B7/F7,0),-ROUNDUP(_xlfn.XLOOKUP($O$2,Armour[TL],Armour[Slots]*B7*E4,,,),0))</f>
        <v>-2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8</v>
      </c>
      <c r="K7" s="92" t="s">
        <v>313</v>
      </c>
      <c r="L7" s="51">
        <f>_xlfn.XLOOKUP($O$2,Armour[TL],Armour[Max],,,)</f>
        <v>40</v>
      </c>
      <c r="N7" s="5" t="str">
        <f>_xlfn.CONCAT("Armour (+",IF(COUNT(L36:L56)&gt;0,0+B7, _xlfn.XLOOKUP($O$2,Armour[TL],Armour[Base],,,)+B7+IF(B4=0,-2,0)),"), ")</f>
        <v xml:space="preserve">Armour (+8), </v>
      </c>
      <c r="P7" s="136" cm="1">
        <f t="array" ref="P7">IF(B7&gt;-1,_xlfn.XLOOKUP($O$2,Armour[TL],-Armour[Cost/Slot]*E7,,,),-P5*0.1)</f>
        <v>3000</v>
      </c>
      <c r="R7" s="213" t="s">
        <v>90</v>
      </c>
      <c r="S7" s="239" t="str">
        <f>_xlfn.CONCAT(O9,O13,O19:O28,O30:O34,O36:O57,O64,O69:O71,O73:O90)</f>
        <v xml:space="preserve">Athletics (endurance) 1, Athletics (strength) 1, Athletics (strength) 1, Electronics () 1, Engineer (all) 2, Mechanic 2, Profession (robotics) 1, </v>
      </c>
      <c r="T7" s="240"/>
      <c r="U7" s="240"/>
      <c r="V7" s="240"/>
      <c r="W7" s="240"/>
      <c r="X7" s="240"/>
      <c r="Y7" s="240"/>
      <c r="Z7" s="241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108</v>
      </c>
      <c r="K8" s="188" t="s">
        <v>64</v>
      </c>
      <c r="L8" s="189"/>
      <c r="M8" s="190"/>
      <c r="P8" s="136">
        <f>B8*0.5*P5</f>
        <v>0</v>
      </c>
      <c r="R8" s="215"/>
      <c r="S8" s="242"/>
      <c r="T8" s="243"/>
      <c r="U8" s="243"/>
      <c r="V8" s="243"/>
      <c r="W8" s="243"/>
      <c r="X8" s="243"/>
      <c r="Y8" s="243"/>
      <c r="Z8" s="244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-2</v>
      </c>
      <c r="F9" s="37"/>
      <c r="G9" s="179" t="s">
        <v>302</v>
      </c>
      <c r="H9" s="179"/>
      <c r="I9" s="180"/>
      <c r="J9" s="51">
        <f>J8*(1+B9)</f>
        <v>216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1000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9 DEX 7)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20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216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(+8), ATV, (idle), IR/UV Vision,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216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(improved), PRIS Sensor, Voder Speaker, Wireless Data Link, Cutting Torch (improved), Drone Interface, Fire Extinguisher, Gecko Grippers, Quick Charger, Starship Engineer Toolkit (improved), Storage Compartment (standard), Vacuum Environment Protection,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5</v>
      </c>
      <c r="C19" s="60">
        <f t="shared" ref="C19:C26" si="0">IF(B19=0,0,B19*2-1)</f>
        <v>9</v>
      </c>
      <c r="D19" s="95">
        <f>ROUNDUP($O$2/2+1,0)</f>
        <v>7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18</v>
      </c>
      <c r="G19" s="16"/>
      <c r="H19" s="60">
        <f t="shared" ref="H19:H28" si="2">C19+G19</f>
        <v>9</v>
      </c>
      <c r="I19" s="61">
        <f t="shared" ref="I19:I28" si="3">IF(H19&gt;17,4,IF(H19&gt;14,3,IF(H19&gt;11,2,IF(H19&gt;8,1,IF(H19&gt;5,0,IF(H19&gt;2,-1,-2))))))</f>
        <v>1</v>
      </c>
      <c r="J19" s="53">
        <f t="shared" ref="J19:J28" si="4">$O$2+3</f>
        <v>15</v>
      </c>
      <c r="K19" s="16"/>
      <c r="L19" s="60">
        <f t="shared" ref="L19:L28" si="5">D19+K19</f>
        <v>7</v>
      </c>
      <c r="M19" s="61">
        <f>IF(L19&gt;20,5,IF(L19&gt;17,4,IF(L19&gt;14,3,IF(L19&gt;11,2,IF(L19&gt;8,1,IF(L19&gt;5,0,IF(L19&gt;2,-1,-2)))))))</f>
        <v>0</v>
      </c>
      <c r="O19" s="12" t="str">
        <f>IF(I19&gt;0,_xlfn.CONCAT("Athletics (strength) ",I19,", "),"")</f>
        <v xml:space="preserve">Athletics (strength) 1, </v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5</v>
      </c>
      <c r="C20" s="6">
        <f t="shared" si="0"/>
        <v>9</v>
      </c>
      <c r="D20" s="96">
        <f t="shared" ref="D20:D26" si="6">IF(B20=0,0,ROUNDUP($O$2/2+1,0))</f>
        <v>7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18</v>
      </c>
      <c r="G20" s="16"/>
      <c r="H20" s="6">
        <f t="shared" si="2"/>
        <v>9</v>
      </c>
      <c r="I20" s="21">
        <f t="shared" si="3"/>
        <v>1</v>
      </c>
      <c r="J20" s="53">
        <f t="shared" si="4"/>
        <v>15</v>
      </c>
      <c r="K20" s="16"/>
      <c r="L20" s="6">
        <f t="shared" si="5"/>
        <v>7</v>
      </c>
      <c r="M20" s="61">
        <f t="shared" ref="M20:M28" si="7">IF(L20&gt;20,5,IF(L20&gt;17,4,IF(L20&gt;14,3,IF(L20&gt;11,2,IF(L20&gt;8,1,IF(L20&gt;5,0,IF(L20&gt;2,-1,-2)))))))</f>
        <v>0</v>
      </c>
      <c r="O20" s="12" t="str">
        <f t="shared" ref="O20:O28" si="8">IF(I20&gt;0,_xlfn.CONCAT("Athletics (strength) ",I20,", "),"")</f>
        <v xml:space="preserve">Athletics (strength) 1, </v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15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15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15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15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15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15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15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15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464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8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12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>+ Geiger counter</v>
      </c>
      <c r="I32" s="194"/>
      <c r="J32" s="194"/>
      <c r="K32" s="43">
        <f>_xlfn.XLOOKUP(A32,OptionsTable[Name],OptionsTable[TL],,,)</f>
        <v>12</v>
      </c>
      <c r="N32" s="5" t="str">
        <f>IF(_xlfn.XLOOKUP(A32,OptionsTable[Name],OptionsTable[Trait],,,)="","",_xlfn.XLOOKUP(A32,OptionsTable[Name],OptionsTable[Trait],,,))</f>
        <v xml:space="preserve">IR/UV Vision, </v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2000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611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-2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9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5000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284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0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/>
      </c>
      <c r="I37" s="194"/>
      <c r="J37" s="194"/>
      <c r="K37" s="43">
        <f>_xlfn.XLOOKUP(A37,OptionsTable[Name],OptionsTable[TL],,,)</f>
        <v>6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100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560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-1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/>
      </c>
      <c r="I38" s="194"/>
      <c r="J38" s="194"/>
      <c r="K38" s="43">
        <f>_xlfn.XLOOKUP(A38,OptionsTable[Name],OptionsTable[TL],,,)</f>
        <v>5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100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291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16</v>
      </c>
      <c r="G39" s="57"/>
      <c r="H39" s="193" t="str">
        <f>IF(_xlfn.XLOOKUP(A39,OptionsTable[Name],OptionsTable[Notes],,,)="","",_xlfn.XLOOKUP(A39,OptionsTable[Name],OptionsTable[Notes],,,))</f>
        <v/>
      </c>
      <c r="I39" s="194"/>
      <c r="J39" s="194"/>
      <c r="K39" s="43">
        <f>_xlfn.XLOOKUP(A39,OptionsTable[Name],OptionsTable[TL],,,)</f>
        <v>9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8000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641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-1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>1 hour recharge</v>
      </c>
      <c r="I40" s="194"/>
      <c r="J40" s="194"/>
      <c r="K40" s="43">
        <f>_xlfn.XLOOKUP(A40,OptionsTable[Name],OptionsTable[TL],,,)</f>
        <v>8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200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 t="s">
        <v>205</v>
      </c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-5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>1 max skill</v>
      </c>
      <c r="I41" s="194"/>
      <c r="J41" s="194"/>
      <c r="K41" s="43">
        <f>_xlfn.XLOOKUP(A41,OptionsTable[Name],OptionsTable[TL],,,)</f>
        <v>10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2000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 t="s">
        <v>471</v>
      </c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-2</v>
      </c>
      <c r="F42" s="37">
        <f>IF(_xlfn.XLOOKUP(A42,OptionsTable[Name],OptionsTable[xS],,,)=FALSE,1,IF($B$4&gt;0,$E$4,1))</f>
        <v>1</v>
      </c>
      <c r="G42" s="57">
        <v>2</v>
      </c>
      <c r="H42" s="193" t="str">
        <f>IF(_xlfn.XLOOKUP(A42,OptionsTable[Name],OptionsTable[Notes],,,)="","",_xlfn.XLOOKUP(A42,OptionsTable[Name],OptionsTable[Notes],,,))</f>
        <v>2 kg or litres / slot</v>
      </c>
      <c r="I42" s="194"/>
      <c r="J42" s="194"/>
      <c r="K42" s="43">
        <f>_xlfn.XLOOKUP(A42,OptionsTable[Name],OptionsTable[TL],,,)</f>
        <v>6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100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 t="s">
        <v>100</v>
      </c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16</v>
      </c>
      <c r="G43" s="57"/>
      <c r="H43" s="193" t="str">
        <f>IF(_xlfn.XLOOKUP(A43,OptionsTable[Name],OptionsTable[Notes],,,)="","",_xlfn.XLOOKUP(A43,OptionsTable[Name],OptionsTable[Notes],,,))</f>
        <v>+ Hostile env</v>
      </c>
      <c r="I43" s="194"/>
      <c r="J43" s="194"/>
      <c r="K43" s="43">
        <f>_xlfn.XLOOKUP(A43,OptionsTable[Name],OptionsTable[TL],,,)</f>
        <v>6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9600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80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8</v>
      </c>
      <c r="I64" s="31">
        <f>IF(H64&gt;17,4,IF(H64&gt;14,3,IF(H64&gt;11,2,IF(H64&gt;8,1,IF(H64&gt;5,0,IF(H64&gt;2,-1,-2))))))</f>
        <v>0</v>
      </c>
      <c r="J64" s="1">
        <f>_xlfn.XLOOKUP(B64,Brains[Programming/Control],Brains[Computer/X],,,)</f>
        <v>2</v>
      </c>
      <c r="K64" s="43">
        <f>_xlfn.XLOOKUP(B64,Brains[Programming/Control],Brains[TL],,,)</f>
        <v>12</v>
      </c>
      <c r="L64">
        <f>_xlfn.XLOOKUP(B64,Brains[Programming/Control],Brains[Computer/X],,,)</f>
        <v>2</v>
      </c>
      <c r="M64" s="12" t="str">
        <f>_xlfn.XLOOKUP(B64,Brains[Programming/Control],Brains[Base capability (built-in no bandwidth, cumulative)],,,)</f>
        <v>Intelligent Interface, Expert/1, Security/1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159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12</v>
      </c>
      <c r="L65">
        <f>_xlfn.XLOOKUP(B65,Bandwidth[Minimum Base Brain],Bandwidth[Bandwidth],,,)+L64</f>
        <v>6</v>
      </c>
      <c r="M65" t="s">
        <v>310</v>
      </c>
      <c r="P65" s="136">
        <f>_xlfn.XLOOKUP(B65,Bandwidth[Minimum Base Brain],Bandwidth[Cost],,,)</f>
        <v>20000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1</v>
      </c>
      <c r="E66" s="39"/>
      <c r="F66" s="37" cm="1">
        <f t="array" ref="F66">_xlfn.IFS(B66=0,0,B66=1,-1,B66=2,-3,B66=3,-6)</f>
        <v>-1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5</v>
      </c>
      <c r="M66" t="s">
        <v>310</v>
      </c>
      <c r="P66" s="136" cm="1">
        <f t="array" ref="P66">_xlfn.IFS(B66=0,0,B66=1,(H64+1)*1000,B66=2,(H64+1)*(H64+2)*1000,B66=3,(H64+1)*(H64+2)*(H64+3)*1000)*IF(H66&gt;11,2,1)</f>
        <v>9000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0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148</v>
      </c>
      <c r="B73" s="225"/>
      <c r="C73" s="226"/>
      <c r="D73" s="57">
        <v>0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0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8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Electronics () 1,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100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149</v>
      </c>
      <c r="B74" s="193" t="s">
        <v>794</v>
      </c>
      <c r="C74" s="227"/>
      <c r="D74" s="57">
        <v>1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4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10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Engineer (all) 2,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8000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130</v>
      </c>
      <c r="B75" s="193"/>
      <c r="C75" s="227"/>
      <c r="D75" s="57">
        <v>1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1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9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Mechanic 2,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1000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135</v>
      </c>
      <c r="B76" s="193" t="s">
        <v>802</v>
      </c>
      <c r="C76" s="227"/>
      <c r="D76" s="57">
        <v>0</v>
      </c>
      <c r="E76" s="39"/>
      <c r="G76" s="59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>0</v>
      </c>
      <c r="I76" s="58" t="str">
        <f>_xlfn.XLOOKUP(A76,StandardBrain[Name],StandardBrain[Characteristic],,,)</f>
        <v>INT</v>
      </c>
      <c r="K76" s="43">
        <f>_xlfn.XLOOKUP(A76,StandardBrain[Name],StandardBrain[TL],,,)+D76</f>
        <v>9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 xml:space="preserve">Profession (robotics) 1, </v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200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89400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80400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3">
    <sortCondition ref="A36:A43"/>
  </sortState>
  <dataConsolidate/>
  <mergeCells count="114">
    <mergeCell ref="G5:I5"/>
    <mergeCell ref="H6:N6"/>
    <mergeCell ref="G7:I7"/>
    <mergeCell ref="G8:I8"/>
    <mergeCell ref="K8:M8"/>
    <mergeCell ref="S9:Z9"/>
    <mergeCell ref="B2:D2"/>
    <mergeCell ref="F2:H2"/>
    <mergeCell ref="I2:M2"/>
    <mergeCell ref="G3:J3"/>
    <mergeCell ref="G4:I4"/>
    <mergeCell ref="K4:L4"/>
    <mergeCell ref="R7:R8"/>
    <mergeCell ref="S7:Z8"/>
    <mergeCell ref="G11:H11"/>
    <mergeCell ref="K11:L11"/>
    <mergeCell ref="S12:Z12"/>
    <mergeCell ref="G12:O12"/>
    <mergeCell ref="S13:Z13"/>
    <mergeCell ref="R14:R18"/>
    <mergeCell ref="S14:Z18"/>
    <mergeCell ref="G9:I9"/>
    <mergeCell ref="K9:M9"/>
    <mergeCell ref="S10:Z10"/>
    <mergeCell ref="G10:H10"/>
    <mergeCell ref="K10:M10"/>
    <mergeCell ref="S11:Z11"/>
    <mergeCell ref="H33:J33"/>
    <mergeCell ref="A34:D34"/>
    <mergeCell ref="H34:J34"/>
    <mergeCell ref="H35:J35"/>
    <mergeCell ref="A36:D36"/>
    <mergeCell ref="H36:J36"/>
    <mergeCell ref="R21:Z76"/>
    <mergeCell ref="B29:D29"/>
    <mergeCell ref="H29:J29"/>
    <mergeCell ref="A30:D30"/>
    <mergeCell ref="H30:J30"/>
    <mergeCell ref="A31:D31"/>
    <mergeCell ref="H31:J31"/>
    <mergeCell ref="A32:D32"/>
    <mergeCell ref="H32:J32"/>
    <mergeCell ref="A33:D33"/>
    <mergeCell ref="A40:D40"/>
    <mergeCell ref="H40:J40"/>
    <mergeCell ref="A41:D41"/>
    <mergeCell ref="H41:J41"/>
    <mergeCell ref="A42:D42"/>
    <mergeCell ref="H42:J42"/>
    <mergeCell ref="A37:D37"/>
    <mergeCell ref="H37:J37"/>
    <mergeCell ref="A38:D38"/>
    <mergeCell ref="H38:J38"/>
    <mergeCell ref="A39:D39"/>
    <mergeCell ref="H39:J39"/>
    <mergeCell ref="A46:D46"/>
    <mergeCell ref="H46:J46"/>
    <mergeCell ref="A47:D47"/>
    <mergeCell ref="H47:J47"/>
    <mergeCell ref="A48:D48"/>
    <mergeCell ref="H48:J48"/>
    <mergeCell ref="A43:D43"/>
    <mergeCell ref="H43:J43"/>
    <mergeCell ref="A44:D44"/>
    <mergeCell ref="H44:J44"/>
    <mergeCell ref="A45:D45"/>
    <mergeCell ref="H45:J45"/>
    <mergeCell ref="A52:D52"/>
    <mergeCell ref="H52:J52"/>
    <mergeCell ref="A53:D53"/>
    <mergeCell ref="H53:J53"/>
    <mergeCell ref="A54:D54"/>
    <mergeCell ref="H54:J54"/>
    <mergeCell ref="A49:D49"/>
    <mergeCell ref="H49:J49"/>
    <mergeCell ref="A50:D50"/>
    <mergeCell ref="H50:J50"/>
    <mergeCell ref="A51:D51"/>
    <mergeCell ref="H51:J51"/>
    <mergeCell ref="A59:D59"/>
    <mergeCell ref="H59:I59"/>
    <mergeCell ref="A60:D60"/>
    <mergeCell ref="H60:I60"/>
    <mergeCell ref="A61:D61"/>
    <mergeCell ref="H61:I61"/>
    <mergeCell ref="A55:D55"/>
    <mergeCell ref="H55:J55"/>
    <mergeCell ref="A56:D56"/>
    <mergeCell ref="H56:J56"/>
    <mergeCell ref="A57:D57"/>
    <mergeCell ref="H57:J57"/>
    <mergeCell ref="B74:C74"/>
    <mergeCell ref="B75:C75"/>
    <mergeCell ref="B76:C76"/>
    <mergeCell ref="B77:C77"/>
    <mergeCell ref="B78:C78"/>
    <mergeCell ref="B79:C79"/>
    <mergeCell ref="B64:D64"/>
    <mergeCell ref="B65:D65"/>
    <mergeCell ref="B69:D69"/>
    <mergeCell ref="B70:D70"/>
    <mergeCell ref="B71:D71"/>
    <mergeCell ref="B73:C73"/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</mergeCells>
  <conditionalFormatting sqref="B14">
    <cfRule type="expression" dxfId="149" priority="6">
      <formula>ABS($J$14-6) &gt; 6</formula>
    </cfRule>
  </conditionalFormatting>
  <conditionalFormatting sqref="E2">
    <cfRule type="expression" dxfId="148" priority="4">
      <formula>$E$2&lt;0</formula>
    </cfRule>
  </conditionalFormatting>
  <conditionalFormatting sqref="E15:E17">
    <cfRule type="expression" dxfId="147" priority="1">
      <formula>AND($B$4=0,E15&lt;0)</formula>
    </cfRule>
  </conditionalFormatting>
  <conditionalFormatting sqref="K5 K30:K34 K36:K57 K59:K61 K64:K67 K73:K90">
    <cfRule type="expression" dxfId="146" priority="5">
      <formula>K5&gt;$O$2</formula>
    </cfRule>
  </conditionalFormatting>
  <conditionalFormatting sqref="L57">
    <cfRule type="expression" dxfId="145" priority="2">
      <formula>L57&gt;$O$2</formula>
    </cfRule>
  </conditionalFormatting>
  <conditionalFormatting sqref="L67">
    <cfRule type="expression" dxfId="144" priority="3">
      <formula>L67&lt;0</formula>
    </cfRule>
  </conditionalFormatting>
  <dataValidations count="20">
    <dataValidation type="whole" allowBlank="1" showInputMessage="1" showErrorMessage="1" error="Total Armour cannot exceed Maximum" sqref="B7" xr:uid="{B2829234-6CF5-4CE0-BF3A-C4F9D071428B}">
      <formula1>-1</formula1>
      <formula2>L7-MID(A7,18,1)</formula2>
    </dataValidation>
    <dataValidation type="whole" allowBlank="1" showInputMessage="1" showErrorMessage="1" error="Max DEX = TL+3" sqref="K19:K28" xr:uid="{513B8E9A-FA8A-49A6-AF01-5D0B03FEF9ED}">
      <formula1>0</formula1>
      <formula2>J19-D19</formula2>
    </dataValidation>
    <dataValidation type="whole" allowBlank="1" showInputMessage="1" showErrorMessage="1" error="Max STR = Lesser of Size + TL or SIZE X 4" sqref="G19:G28" xr:uid="{8C65CE5C-CEA7-4794-B9BF-C08270BE5941}">
      <formula1>0</formula1>
      <formula2>F19-C19</formula2>
    </dataValidation>
    <dataValidation type="whole" allowBlank="1" showInputMessage="1" showErrorMessage="1" sqref="E13:E14" xr:uid="{2723E54F-D0B0-4FA5-BDE8-27703C34F033}">
      <formula1>0</formula1>
      <formula2>#REF!/2</formula2>
    </dataValidation>
    <dataValidation type="whole" allowBlank="1" showInputMessage="1" showErrorMessage="1" sqref="C14:D14" xr:uid="{2918CAD4-03B0-4542-98DC-68639D6F51E7}">
      <formula1>0</formula1>
      <formula2>D15/2</formula2>
    </dataValidation>
    <dataValidation type="whole" allowBlank="1" showInputMessage="1" showErrorMessage="1" sqref="C13:D13" xr:uid="{41A04068-DA13-4BDA-A460-04857E85A7BE}">
      <formula1>0</formula1>
      <formula2>D5/2</formula2>
    </dataValidation>
    <dataValidation type="whole" allowBlank="1" showInputMessage="1" showErrorMessage="1" sqref="C11:D11" xr:uid="{8937E1C2-CD28-4760-B134-286099E4A4CA}">
      <formula1>0</formula1>
      <formula2>D4/2</formula2>
    </dataValidation>
    <dataValidation type="whole" allowBlank="1" showInputMessage="1" showErrorMessage="1" error="Must be whole number between -6 and +12" sqref="B14" xr:uid="{ED5A5794-8F1A-4A29-AD15-A443F6C7776A}">
      <formula1>-6</formula1>
      <formula2>12</formula2>
    </dataValidation>
    <dataValidation type="list" allowBlank="1" showInputMessage="1" showErrorMessage="1" sqref="B16" xr:uid="{33AE3B95-29B5-4651-9156-1FA627FE8F22}">
      <formula1>"No,1X,2X,3X"</formula1>
    </dataValidation>
    <dataValidation type="list" allowBlank="1" showInputMessage="1" showErrorMessage="1" sqref="B15" xr:uid="{66A95C56-6492-4D33-BFA0-203C96DAFFF7}">
      <formula1>"FALSE,TRUE"</formula1>
    </dataValidation>
    <dataValidation type="list" allowBlank="1" showInputMessage="1" showErrorMessage="1" sqref="D73:D90 B66" xr:uid="{C434D34D-4371-444D-80F7-20CA5C688B2C}">
      <formula1>"0,1,2,3"</formula1>
    </dataValidation>
    <dataValidation type="list" allowBlank="1" showInputMessage="1" showErrorMessage="1" sqref="B13" xr:uid="{EA2E29DF-4914-469D-AF78-D0068CF3DE06}">
      <formula1>"0,1,2,3,4"</formula1>
    </dataValidation>
    <dataValidation type="list" allowBlank="1" showInputMessage="1" showErrorMessage="1" sqref="B27:B28 B67 B8" xr:uid="{C427CC85-A4D2-4679-88E1-C0EF9710B781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416A9784-6A33-4A15-B9A6-6B4DB407FD01}">
      <formula1>0</formula1>
      <formula2>$B$4+2</formula2>
    </dataValidation>
    <dataValidation type="list" allowBlank="1" showInputMessage="1" showErrorMessage="1" sqref="O2" xr:uid="{BBE8F39C-9DD5-4969-8455-2CF48BDF2030}">
      <formula1>"7,8,9,10,11,12,13,14,15,16,17,18"</formula1>
    </dataValidation>
    <dataValidation type="list" allowBlank="1" showInputMessage="1" showErrorMessage="1" sqref="B4" xr:uid="{E9F0154D-D438-4957-A4C6-504DA18BCD1D}">
      <formula1>"0,1,2,3,4,5,6,7,8"</formula1>
    </dataValidation>
    <dataValidation type="list" allowBlank="1" showInputMessage="1" showErrorMessage="1" error="Maximum = 3" sqref="B9" xr:uid="{36E33E15-67BF-43E9-8F86-98B79F6F23DC}">
      <formula1>"0,1,2,3"</formula1>
    </dataValidation>
    <dataValidation type="whole" allowBlank="1" showInputMessage="1" showErrorMessage="1" sqref="E11" xr:uid="{4515D00F-7AF8-42CC-AD1C-F87C9DEE25C4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FBC89340-9400-4339-9119-9EB5855D7BF4}">
      <formula1>0</formula1>
      <formula2>E4/2</formula2>
    </dataValidation>
    <dataValidation type="whole" allowBlank="1" showInputMessage="1" showErrorMessage="1" error="Must be a negative number no less than a 50% of the base hits" sqref="B11" xr:uid="{7673927F-1460-4654-BBB2-35BC99C2C5E4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1621983B-FA26-4E7B-8449-FC1E18FAD64F}">
          <x14:formula1>
            <xm:f>Packages!$B$23:$B$25</xm:f>
          </x14:formula1>
          <xm:sqref>B71</xm:sqref>
        </x14:dataValidation>
        <x14:dataValidation type="list" allowBlank="1" showInputMessage="1" showErrorMessage="1" xr:uid="{01051580-3AFB-414C-AEBF-FDADD778BD52}">
          <x14:formula1>
            <xm:f>Packages!$B$3:$B$7</xm:f>
          </x14:formula1>
          <xm:sqref>B69</xm:sqref>
        </x14:dataValidation>
        <x14:dataValidation type="list" allowBlank="1" showInputMessage="1" showErrorMessage="1" xr:uid="{925FD36B-C30F-4A46-B227-F5B037CC5C4F}">
          <x14:formula1>
            <xm:f>Packages!$B$11:$B$19</xm:f>
          </x14:formula1>
          <xm:sqref>B70</xm:sqref>
        </x14:dataValidation>
        <x14:dataValidation type="list" allowBlank="1" showInputMessage="1" showErrorMessage="1" xr:uid="{04CCE297-650A-4DA4-9EE3-8C0D8AAFFED8}">
          <x14:formula1>
            <xm:f>Chassis!$H$3:$H$13</xm:f>
          </x14:formula1>
          <xm:sqref>B17 B5</xm:sqref>
        </x14:dataValidation>
        <x14:dataValidation type="list" allowBlank="1" showInputMessage="1" showErrorMessage="1" xr:uid="{7714B473-D17F-453E-98FF-75A0DF70C188}">
          <x14:formula1>
            <xm:f>Options!$C$9:$C$71</xm:f>
          </x14:formula1>
          <xm:sqref>A30:A34</xm:sqref>
        </x14:dataValidation>
        <x14:dataValidation type="list" allowBlank="1" showInputMessage="1" showErrorMessage="1" xr:uid="{117C91A3-9BF6-4DE1-B7E6-2BAE547A22C1}">
          <x14:formula1>
            <xm:f>Options!$C$9:$C$251</xm:f>
          </x14:formula1>
          <xm:sqref>A36:A56</xm:sqref>
        </x14:dataValidation>
        <x14:dataValidation type="list" allowBlank="1" showInputMessage="1" showErrorMessage="1" xr:uid="{071F61B9-043E-44A4-877A-4D1EECE7ABB2}">
          <x14:formula1>
            <xm:f>Packages!$B$29:$B$68</xm:f>
          </x14:formula1>
          <xm:sqref>A73:A90</xm:sqref>
        </x14:dataValidation>
        <x14:dataValidation type="list" allowBlank="1" showInputMessage="1" showErrorMessage="1" xr:uid="{626D4FBC-E0D6-453E-BED9-948E16EE1CAA}">
          <x14:formula1>
            <xm:f>Brains!$K$3:$K$16</xm:f>
          </x14:formula1>
          <xm:sqref>B65</xm:sqref>
        </x14:dataValidation>
        <x14:dataValidation type="list" allowBlank="1" showInputMessage="1" showErrorMessage="1" xr:uid="{22E965EC-D655-4924-8EA6-486C2BE7D513}">
          <x14:formula1>
            <xm:f>Brains!$B$3:$B$19</xm:f>
          </x14:formula1>
          <xm:sqref>B64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2A8D-3105-4DA1-8AFA-1873E7872207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818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212800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5</v>
      </c>
      <c r="E4" s="114">
        <f>_xlfn.XLOOKUP(B4,Size[Size],Size[Base Slots],,,)</f>
        <v>16</v>
      </c>
      <c r="F4" s="37">
        <f>B4+O2</f>
        <v>20</v>
      </c>
      <c r="G4" s="168" t="s">
        <v>299</v>
      </c>
      <c r="H4" s="168"/>
      <c r="I4" s="169"/>
      <c r="J4" s="108">
        <f>_xlfn.XLOOKUP(B4,Size[Size],Size[Base hits],,,)</f>
        <v>20</v>
      </c>
      <c r="K4" s="170" t="s">
        <v>727</v>
      </c>
      <c r="L4" s="171"/>
      <c r="M4" s="52">
        <f>_xlfn.XLOOKUP(B4,Size[Size],Size[Basic Cost],,,)</f>
        <v>1000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/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10000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Enhanced Engineer Droid</v>
      </c>
      <c r="S6" s="143">
        <f>M11</f>
        <v>20</v>
      </c>
      <c r="T6" s="143" t="str">
        <f>B5</f>
        <v>Walker</v>
      </c>
      <c r="U6" s="143" t="str">
        <f>_xlfn.CONCAT(J14," m")</f>
        <v>5 m</v>
      </c>
      <c r="V6" s="144">
        <f>O2</f>
        <v>15</v>
      </c>
      <c r="W6" s="147">
        <f>P91</f>
        <v>236500</v>
      </c>
      <c r="X6" s="151">
        <f>IF(I2="Standard Design",0.1,0)</f>
        <v>0.1</v>
      </c>
      <c r="Y6" s="152">
        <v>2</v>
      </c>
      <c r="Z6" s="147">
        <f>FLOOR(P91*(1-X6),100)</f>
        <v>212800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4</v>
      </c>
      <c r="E7" s="114" cm="1">
        <f t="array" ref="E7">IF(ROUNDUP(_xlfn.XLOOKUP($O$2,Armour[TL],Armour[Slots]*B7*E4,,,),0)&lt;B7/F7,-ROUNDUP(B7/F7,0),-ROUNDUP(_xlfn.XLOOKUP($O$2,Armour[TL],Armour[Slots]*B7*E4,,,),0))</f>
        <v>-1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8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(+8), </v>
      </c>
      <c r="P7" s="136" cm="1">
        <f t="array" ref="P7">IF(B7&gt;-1,_xlfn.XLOOKUP($O$2,Armour[TL],-Armour[Cost/Slot]*E7,,,),-P5*0.1)</f>
        <v>2500</v>
      </c>
      <c r="R7" s="213" t="s">
        <v>90</v>
      </c>
      <c r="S7" s="239" t="str">
        <f>_xlfn.CONCAT(O9,O13,O19:O28,O30:O34,O36:O57,O64,O69:O71,O73:O90)</f>
        <v xml:space="preserve">Athletics (endurance) 1, Athletics (strength) 1, Athletics (strength) 1, Electronics () 1, Engineer (all) 3, Mechanic 2, Profession (robotics) 1, </v>
      </c>
      <c r="T7" s="240"/>
      <c r="U7" s="240"/>
      <c r="V7" s="240"/>
      <c r="W7" s="240"/>
      <c r="X7" s="240"/>
      <c r="Y7" s="240"/>
      <c r="Z7" s="241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144</v>
      </c>
      <c r="K8" s="188" t="s">
        <v>64</v>
      </c>
      <c r="L8" s="189"/>
      <c r="M8" s="190"/>
      <c r="P8" s="136">
        <f>B8*0.5*P5</f>
        <v>0</v>
      </c>
      <c r="R8" s="215"/>
      <c r="S8" s="242"/>
      <c r="T8" s="243"/>
      <c r="U8" s="243"/>
      <c r="V8" s="243"/>
      <c r="W8" s="243"/>
      <c r="X8" s="243"/>
      <c r="Y8" s="243"/>
      <c r="Z8" s="244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-2</v>
      </c>
      <c r="F9" s="37"/>
      <c r="G9" s="179" t="s">
        <v>302</v>
      </c>
      <c r="H9" s="179"/>
      <c r="I9" s="180"/>
      <c r="J9" s="51">
        <f>J8*(1+B9)</f>
        <v>288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1000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9 DEX 9)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20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288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(+8), ATV, (idle), IR/UV Vision,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Very 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288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(improved), PRIS Sensor, Voder Speaker, Wireless Data Link, Cutting Torch (advanced), Drone Interface, Fire Extinguisher, Gecko Grippers, Quick Charger, Starship Engineer Toolkit (enhanced), Storage Compartment (standard), Vacuum Environment Protection,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5</v>
      </c>
      <c r="C19" s="60">
        <f t="shared" ref="C19:C26" si="0">IF(B19=0,0,B19*2-1)</f>
        <v>9</v>
      </c>
      <c r="D19" s="95">
        <f>ROUNDUP($O$2/2+1,0)</f>
        <v>9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18</v>
      </c>
      <c r="G19" s="16"/>
      <c r="H19" s="60">
        <f t="shared" ref="H19:H28" si="2">C19+G19</f>
        <v>9</v>
      </c>
      <c r="I19" s="61">
        <f t="shared" ref="I19:I28" si="3">IF(H19&gt;17,4,IF(H19&gt;14,3,IF(H19&gt;11,2,IF(H19&gt;8,1,IF(H19&gt;5,0,IF(H19&gt;2,-1,-2))))))</f>
        <v>1</v>
      </c>
      <c r="J19" s="53">
        <f t="shared" ref="J19:J28" si="4">$O$2+3</f>
        <v>18</v>
      </c>
      <c r="K19" s="16"/>
      <c r="L19" s="60">
        <f t="shared" ref="L19:L28" si="5">D19+K19</f>
        <v>9</v>
      </c>
      <c r="M19" s="61">
        <f>IF(L19&gt;20,5,IF(L19&gt;17,4,IF(L19&gt;14,3,IF(L19&gt;11,2,IF(L19&gt;8,1,IF(L19&gt;5,0,IF(L19&gt;2,-1,-2)))))))</f>
        <v>1</v>
      </c>
      <c r="O19" s="12" t="str">
        <f>IF(I19&gt;0,_xlfn.CONCAT("Athletics (strength) ",I19,", "),"")</f>
        <v xml:space="preserve">Athletics (strength) 1, </v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5</v>
      </c>
      <c r="C20" s="6">
        <f t="shared" si="0"/>
        <v>9</v>
      </c>
      <c r="D20" s="96">
        <f t="shared" ref="D20:D26" si="6">IF(B20=0,0,ROUNDUP($O$2/2+1,0))</f>
        <v>9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18</v>
      </c>
      <c r="G20" s="16"/>
      <c r="H20" s="6">
        <f t="shared" si="2"/>
        <v>9</v>
      </c>
      <c r="I20" s="21">
        <f t="shared" si="3"/>
        <v>1</v>
      </c>
      <c r="J20" s="53">
        <f t="shared" si="4"/>
        <v>18</v>
      </c>
      <c r="K20" s="16"/>
      <c r="L20" s="6">
        <f t="shared" si="5"/>
        <v>9</v>
      </c>
      <c r="M20" s="61">
        <f t="shared" ref="M20:M28" si="7">IF(L20&gt;20,5,IF(L20&gt;17,4,IF(L20&gt;14,3,IF(L20&gt;11,2,IF(L20&gt;8,1,IF(L20&gt;5,0,IF(L20&gt;2,-1,-2)))))))</f>
        <v>1</v>
      </c>
      <c r="O20" s="12" t="str">
        <f t="shared" ref="O20:O28" si="8">IF(I20&gt;0,_xlfn.CONCAT("Athletics (strength) ",I20,", "),"")</f>
        <v xml:space="preserve">Athletics (strength) 1, </v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464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8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12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>+ Geiger counter</v>
      </c>
      <c r="I32" s="194"/>
      <c r="J32" s="194"/>
      <c r="K32" s="43">
        <f>_xlfn.XLOOKUP(A32,OptionsTable[Name],OptionsTable[TL],,,)</f>
        <v>12</v>
      </c>
      <c r="N32" s="5" t="str">
        <f>IF(_xlfn.XLOOKUP(A32,OptionsTable[Name],OptionsTable[Trait],,,)="","",_xlfn.XLOOKUP(A32,OptionsTable[Name],OptionsTable[Trait],,,))</f>
        <v xml:space="preserve">IR/UV Vision, </v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2000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559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-1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14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5000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284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0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/>
      </c>
      <c r="I37" s="194"/>
      <c r="J37" s="194"/>
      <c r="K37" s="43">
        <f>_xlfn.XLOOKUP(A37,OptionsTable[Name],OptionsTable[TL],,,)</f>
        <v>6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100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560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-1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/>
      </c>
      <c r="I38" s="194"/>
      <c r="J38" s="194"/>
      <c r="K38" s="43">
        <f>_xlfn.XLOOKUP(A38,OptionsTable[Name],OptionsTable[TL],,,)</f>
        <v>5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100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291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16</v>
      </c>
      <c r="G39" s="57"/>
      <c r="H39" s="193" t="str">
        <f>IF(_xlfn.XLOOKUP(A39,OptionsTable[Name],OptionsTable[Notes],,,)="","",_xlfn.XLOOKUP(A39,OptionsTable[Name],OptionsTable[Notes],,,))</f>
        <v/>
      </c>
      <c r="I39" s="194"/>
      <c r="J39" s="194"/>
      <c r="K39" s="43">
        <f>_xlfn.XLOOKUP(A39,OptionsTable[Name],OptionsTable[TL],,,)</f>
        <v>9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8000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641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-1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>1 hour recharge</v>
      </c>
      <c r="I40" s="194"/>
      <c r="J40" s="194"/>
      <c r="K40" s="43">
        <f>_xlfn.XLOOKUP(A40,OptionsTable[Name],OptionsTable[TL],,,)</f>
        <v>8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200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 t="s">
        <v>206</v>
      </c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-5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>2 max skill</v>
      </c>
      <c r="I41" s="194"/>
      <c r="J41" s="194"/>
      <c r="K41" s="43">
        <f>_xlfn.XLOOKUP(A41,OptionsTable[Name],OptionsTable[TL],,,)</f>
        <v>12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4000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 t="s">
        <v>471</v>
      </c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-4</v>
      </c>
      <c r="F42" s="37">
        <f>IF(_xlfn.XLOOKUP(A42,OptionsTable[Name],OptionsTable[xS],,,)=FALSE,1,IF($B$4&gt;0,$E$4,1))</f>
        <v>1</v>
      </c>
      <c r="G42" s="57">
        <v>4</v>
      </c>
      <c r="H42" s="193" t="str">
        <f>IF(_xlfn.XLOOKUP(A42,OptionsTable[Name],OptionsTable[Notes],,,)="","",_xlfn.XLOOKUP(A42,OptionsTable[Name],OptionsTable[Notes],,,))</f>
        <v>2 kg or litres / slot</v>
      </c>
      <c r="I42" s="194"/>
      <c r="J42" s="194"/>
      <c r="K42" s="43">
        <f>_xlfn.XLOOKUP(A42,OptionsTable[Name],OptionsTable[TL],,,)</f>
        <v>6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200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 t="s">
        <v>100</v>
      </c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16</v>
      </c>
      <c r="G43" s="57"/>
      <c r="H43" s="193" t="str">
        <f>IF(_xlfn.XLOOKUP(A43,OptionsTable[Name],OptionsTable[Notes],,,)="","",_xlfn.XLOOKUP(A43,OptionsTable[Name],OptionsTable[Notes],,,))</f>
        <v>+ Hostile env</v>
      </c>
      <c r="I43" s="194"/>
      <c r="J43" s="194"/>
      <c r="K43" s="43">
        <f>_xlfn.XLOOKUP(A43,OptionsTable[Name],OptionsTable[TL],,,)</f>
        <v>6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9600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81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9</v>
      </c>
      <c r="I64" s="31">
        <f>IF(H64&gt;17,4,IF(H64&gt;14,3,IF(H64&gt;11,2,IF(H64&gt;8,1,IF(H64&gt;5,0,IF(H64&gt;2,-1,-2))))))</f>
        <v>1</v>
      </c>
      <c r="J64" s="1">
        <f>_xlfn.XLOOKUP(B64,Brains[Programming/Control],Brains[Computer/X],,,)</f>
        <v>3</v>
      </c>
      <c r="K64" s="43">
        <f>_xlfn.XLOOKUP(B64,Brains[Programming/Control],Brains[TL],,,)</f>
        <v>12</v>
      </c>
      <c r="L64">
        <f>_xlfn.XLOOKUP(B64,Brains[Programming/Control],Brains[Computer/X],,,)</f>
        <v>3</v>
      </c>
      <c r="M64" s="12" t="str">
        <f>_xlfn.XLOOKUP(B64,Brains[Programming/Control],Brains[Base capability (built-in no bandwidth, cumulative)],,,)</f>
        <v>Intellect Interface, Expert/2, Security/2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62500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160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12</v>
      </c>
      <c r="L65">
        <f>_xlfn.XLOOKUP(B65,Bandwidth[Minimum Base Brain],Bandwidth[Bandwidth],,,)+L64</f>
        <v>9</v>
      </c>
      <c r="M65" t="s">
        <v>310</v>
      </c>
      <c r="P65" s="136">
        <f>_xlfn.XLOOKUP(B65,Bandwidth[Minimum Base Brain],Bandwidth[Cost],,,)</f>
        <v>50000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9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1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148</v>
      </c>
      <c r="B73" s="225"/>
      <c r="C73" s="226"/>
      <c r="D73" s="57">
        <v>0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0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8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Electronics () 1,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100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149</v>
      </c>
      <c r="B74" s="193" t="s">
        <v>794</v>
      </c>
      <c r="C74" s="227"/>
      <c r="D74" s="57">
        <v>2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8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11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Engineer (all) 3,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80000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130</v>
      </c>
      <c r="B75" s="193"/>
      <c r="C75" s="227"/>
      <c r="D75" s="57">
        <v>1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1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9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Mechanic 2,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1000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135</v>
      </c>
      <c r="B76" s="193" t="s">
        <v>802</v>
      </c>
      <c r="C76" s="227"/>
      <c r="D76" s="57">
        <v>0</v>
      </c>
      <c r="E76" s="39"/>
      <c r="G76" s="59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>0</v>
      </c>
      <c r="I76" s="58" t="str">
        <f>_xlfn.XLOOKUP(A76,StandardBrain[Name],StandardBrain[Characteristic],,,)</f>
        <v>INT</v>
      </c>
      <c r="K76" s="43">
        <f>_xlfn.XLOOKUP(A76,StandardBrain[Name],StandardBrain[TL],,,)+D76</f>
        <v>9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 xml:space="preserve">Profession (robotics) 1, </v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200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236500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212800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5">
    <sortCondition ref="A36:A45"/>
  </sortState>
  <dataConsolidate/>
  <mergeCells count="114"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4:D64"/>
    <mergeCell ref="B65:D65"/>
    <mergeCell ref="B69:D69"/>
    <mergeCell ref="B70:D70"/>
    <mergeCell ref="B71:D71"/>
    <mergeCell ref="B73:C73"/>
    <mergeCell ref="A59:D59"/>
    <mergeCell ref="H59:I59"/>
    <mergeCell ref="A60:D60"/>
    <mergeCell ref="H60:I60"/>
    <mergeCell ref="A61:D61"/>
    <mergeCell ref="H61:I61"/>
    <mergeCell ref="A55:D55"/>
    <mergeCell ref="H55:J55"/>
    <mergeCell ref="A56:D56"/>
    <mergeCell ref="H56:J56"/>
    <mergeCell ref="A57:D57"/>
    <mergeCell ref="H57:J57"/>
    <mergeCell ref="A52:D52"/>
    <mergeCell ref="H52:J52"/>
    <mergeCell ref="A53:D53"/>
    <mergeCell ref="H53:J53"/>
    <mergeCell ref="A54:D54"/>
    <mergeCell ref="H54:J54"/>
    <mergeCell ref="A49:D49"/>
    <mergeCell ref="H49:J49"/>
    <mergeCell ref="A50:D50"/>
    <mergeCell ref="H50:J50"/>
    <mergeCell ref="A51:D51"/>
    <mergeCell ref="H51:J51"/>
    <mergeCell ref="A38:D38"/>
    <mergeCell ref="H38:J38"/>
    <mergeCell ref="A39:D39"/>
    <mergeCell ref="H39:J39"/>
    <mergeCell ref="A46:D46"/>
    <mergeCell ref="H46:J46"/>
    <mergeCell ref="A47:D47"/>
    <mergeCell ref="H47:J47"/>
    <mergeCell ref="A48:D48"/>
    <mergeCell ref="H48:J48"/>
    <mergeCell ref="A43:D43"/>
    <mergeCell ref="H43:J43"/>
    <mergeCell ref="A44:D44"/>
    <mergeCell ref="H44:J44"/>
    <mergeCell ref="A45:D45"/>
    <mergeCell ref="H45:J45"/>
    <mergeCell ref="H33:J33"/>
    <mergeCell ref="A34:D34"/>
    <mergeCell ref="H34:J34"/>
    <mergeCell ref="H35:J35"/>
    <mergeCell ref="A36:D36"/>
    <mergeCell ref="H36:J36"/>
    <mergeCell ref="R21:Z76"/>
    <mergeCell ref="B29:D29"/>
    <mergeCell ref="H29:J29"/>
    <mergeCell ref="A30:D30"/>
    <mergeCell ref="H30:J30"/>
    <mergeCell ref="A31:D31"/>
    <mergeCell ref="H31:J31"/>
    <mergeCell ref="A32:D32"/>
    <mergeCell ref="H32:J32"/>
    <mergeCell ref="A33:D33"/>
    <mergeCell ref="A40:D40"/>
    <mergeCell ref="H40:J40"/>
    <mergeCell ref="A41:D41"/>
    <mergeCell ref="H41:J41"/>
    <mergeCell ref="A42:D42"/>
    <mergeCell ref="H42:J42"/>
    <mergeCell ref="A37:D37"/>
    <mergeCell ref="H37:J37"/>
    <mergeCell ref="G11:H11"/>
    <mergeCell ref="K11:L11"/>
    <mergeCell ref="S12:Z12"/>
    <mergeCell ref="G12:O12"/>
    <mergeCell ref="S13:Z13"/>
    <mergeCell ref="R14:R18"/>
    <mergeCell ref="S14:Z18"/>
    <mergeCell ref="G9:I9"/>
    <mergeCell ref="K9:M9"/>
    <mergeCell ref="S10:Z10"/>
    <mergeCell ref="G10:H10"/>
    <mergeCell ref="K10:M10"/>
    <mergeCell ref="S11:Z11"/>
    <mergeCell ref="G5:I5"/>
    <mergeCell ref="H6:N6"/>
    <mergeCell ref="G7:I7"/>
    <mergeCell ref="G8:I8"/>
    <mergeCell ref="K8:M8"/>
    <mergeCell ref="S9:Z9"/>
    <mergeCell ref="B2:D2"/>
    <mergeCell ref="F2:H2"/>
    <mergeCell ref="I2:M2"/>
    <mergeCell ref="G3:J3"/>
    <mergeCell ref="G4:I4"/>
    <mergeCell ref="K4:L4"/>
    <mergeCell ref="R7:R8"/>
    <mergeCell ref="S7:Z8"/>
  </mergeCells>
  <conditionalFormatting sqref="B14">
    <cfRule type="expression" dxfId="143" priority="6">
      <formula>ABS($J$14-6) &gt; 6</formula>
    </cfRule>
  </conditionalFormatting>
  <conditionalFormatting sqref="E2">
    <cfRule type="expression" dxfId="142" priority="4">
      <formula>$E$2&lt;0</formula>
    </cfRule>
  </conditionalFormatting>
  <conditionalFormatting sqref="E15:E17">
    <cfRule type="expression" dxfId="141" priority="1">
      <formula>AND($B$4=0,E15&lt;0)</formula>
    </cfRule>
  </conditionalFormatting>
  <conditionalFormatting sqref="K5 K30:K34 K36:K57 K59:K61 K64:K67 K73:K90">
    <cfRule type="expression" dxfId="140" priority="5">
      <formula>K5&gt;$O$2</formula>
    </cfRule>
  </conditionalFormatting>
  <conditionalFormatting sqref="L57">
    <cfRule type="expression" dxfId="139" priority="2">
      <formula>L57&gt;$O$2</formula>
    </cfRule>
  </conditionalFormatting>
  <conditionalFormatting sqref="L67">
    <cfRule type="expression" dxfId="138" priority="3">
      <formula>L67&lt;0</formula>
    </cfRule>
  </conditionalFormatting>
  <dataValidations count="20">
    <dataValidation type="whole" allowBlank="1" showInputMessage="1" showErrorMessage="1" error="Must be a negative number no less than a 50% of the base hits" sqref="B11" xr:uid="{CD08EBC7-DE1E-4824-BDEF-F248AD5E6CF9}">
      <formula1>-J4/2</formula1>
      <formula2>0</formula2>
    </dataValidation>
    <dataValidation type="whole" allowBlank="1" showInputMessage="1" showErrorMessage="1" error="Must be whole number. No more than 50% of slots may be used for Resiliency" sqref="B10" xr:uid="{A110B227-50B1-4754-912C-9798FD3F6C4C}">
      <formula1>0</formula1>
      <formula2>E4/2</formula2>
    </dataValidation>
    <dataValidation type="whole" allowBlank="1" showInputMessage="1" showErrorMessage="1" sqref="E11" xr:uid="{9CA45408-EE6F-43C8-9C49-C3BD8CDA44A9}">
      <formula1>0</formula1>
      <formula2>J4/2</formula2>
    </dataValidation>
    <dataValidation type="list" allowBlank="1" showInputMessage="1" showErrorMessage="1" error="Maximum = 3" sqref="B9" xr:uid="{E8EBC8C2-E495-4BA9-858B-DADFBA8D8AB0}">
      <formula1>"0,1,2,3"</formula1>
    </dataValidation>
    <dataValidation type="list" allowBlank="1" showInputMessage="1" showErrorMessage="1" sqref="B4" xr:uid="{BE472B4A-76F8-4980-A269-A8C14E663761}">
      <formula1>"0,1,2,3,4,5,6,7,8"</formula1>
    </dataValidation>
    <dataValidation type="list" allowBlank="1" showInputMessage="1" showErrorMessage="1" sqref="O2" xr:uid="{4BBD8F95-E46C-4E8F-9178-6D8B4D405D4E}">
      <formula1>"7,8,9,10,11,12,13,14,15,16,17,18"</formula1>
    </dataValidation>
    <dataValidation type="whole" allowBlank="1" showInputMessage="1" showErrorMessage="1" error="Max Manipulator Size = Chassis Size +2_x000a_Min Manipulator Size = 0_x000a_Whole Numbers Only" sqref="B19:B26" xr:uid="{BF9804ED-D9FA-4854-9756-3CD47754CF8E}">
      <formula1>0</formula1>
      <formula2>$B$4+2</formula2>
    </dataValidation>
    <dataValidation type="list" allowBlank="1" showInputMessage="1" showErrorMessage="1" sqref="B27:B28 B67 B8" xr:uid="{3053F33F-192E-4BE4-89D9-D6E39D2D0C4D}">
      <formula1>"TRUE,FALSE"</formula1>
    </dataValidation>
    <dataValidation type="list" allowBlank="1" showInputMessage="1" showErrorMessage="1" sqref="B13" xr:uid="{A37B5249-EB3B-493A-BE1C-A47F18C88680}">
      <formula1>"0,1,2,3,4"</formula1>
    </dataValidation>
    <dataValidation type="list" allowBlank="1" showInputMessage="1" showErrorMessage="1" sqref="D73:D90 B66" xr:uid="{3A4129C5-3441-4AC2-A793-9003B6ED7263}">
      <formula1>"0,1,2,3"</formula1>
    </dataValidation>
    <dataValidation type="list" allowBlank="1" showInputMessage="1" showErrorMessage="1" sqref="B15" xr:uid="{1A8717ED-E447-484D-81E2-B63EDE859897}">
      <formula1>"FALSE,TRUE"</formula1>
    </dataValidation>
    <dataValidation type="list" allowBlank="1" showInputMessage="1" showErrorMessage="1" sqref="B16" xr:uid="{2C49D0B1-CC9D-49F9-8E8D-94CC758F7863}">
      <formula1>"No,1X,2X,3X"</formula1>
    </dataValidation>
    <dataValidation type="whole" allowBlank="1" showInputMessage="1" showErrorMessage="1" error="Must be whole number between -6 and +12" sqref="B14" xr:uid="{805F283F-25FA-4FA3-9C86-A54681A3F03B}">
      <formula1>-6</formula1>
      <formula2>12</formula2>
    </dataValidation>
    <dataValidation type="whole" allowBlank="1" showInputMessage="1" showErrorMessage="1" sqref="C11:D11" xr:uid="{BA6ABA5F-72CB-4B99-9FC7-0A3973BA8C8C}">
      <formula1>0</formula1>
      <formula2>D4/2</formula2>
    </dataValidation>
    <dataValidation type="whole" allowBlank="1" showInputMessage="1" showErrorMessage="1" sqref="C13:D13" xr:uid="{DACD7538-8E51-4600-8E22-18DB8B87B604}">
      <formula1>0</formula1>
      <formula2>D5/2</formula2>
    </dataValidation>
    <dataValidation type="whole" allowBlank="1" showInputMessage="1" showErrorMessage="1" sqref="C14:D14" xr:uid="{04FBC07D-08A0-45AB-96E8-24C20CDABD02}">
      <formula1>0</formula1>
      <formula2>D15/2</formula2>
    </dataValidation>
    <dataValidation type="whole" allowBlank="1" showInputMessage="1" showErrorMessage="1" sqref="E13:E14" xr:uid="{ED04AD05-9301-41D7-AEEB-1EECAF882FAE}">
      <formula1>0</formula1>
      <formula2>#REF!/2</formula2>
    </dataValidation>
    <dataValidation type="whole" allowBlank="1" showInputMessage="1" showErrorMessage="1" error="Max STR = Lesser of Size + TL or SIZE X 4" sqref="G19:G28" xr:uid="{5F25CBCD-99F5-4282-A466-26F4A5AF35BB}">
      <formula1>0</formula1>
      <formula2>F19-C19</formula2>
    </dataValidation>
    <dataValidation type="whole" allowBlank="1" showInputMessage="1" showErrorMessage="1" error="Max DEX = TL+3" sqref="K19:K28" xr:uid="{057CC4C1-B4DD-48EC-8AF0-8B0017051CE0}">
      <formula1>0</formula1>
      <formula2>J19-D19</formula2>
    </dataValidation>
    <dataValidation type="whole" allowBlank="1" showInputMessage="1" showErrorMessage="1" error="Total Armour cannot exceed Maximum" sqref="B7" xr:uid="{3BA1339F-1030-4FF1-BD2D-A37A821E9446}">
      <formula1>-1</formula1>
      <formula2>L7-MID(A7,18,1)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3A75433-9DE6-4B03-B8A4-35888488C29B}">
          <x14:formula1>
            <xm:f>Options!$C$9:$C$71</xm:f>
          </x14:formula1>
          <xm:sqref>A30:A34</xm:sqref>
        </x14:dataValidation>
        <x14:dataValidation type="list" allowBlank="1" showInputMessage="1" showErrorMessage="1" xr:uid="{024E285B-9BBF-4700-BB3B-F04C65FE892F}">
          <x14:formula1>
            <xm:f>Chassis!$H$3:$H$13</xm:f>
          </x14:formula1>
          <xm:sqref>B17 B5</xm:sqref>
        </x14:dataValidation>
        <x14:dataValidation type="list" allowBlank="1" showInputMessage="1" showErrorMessage="1" xr:uid="{CC8E04B0-2282-42EA-8561-8091F3580934}">
          <x14:formula1>
            <xm:f>Packages!$B$11:$B$19</xm:f>
          </x14:formula1>
          <xm:sqref>B70</xm:sqref>
        </x14:dataValidation>
        <x14:dataValidation type="list" allowBlank="1" showInputMessage="1" showErrorMessage="1" xr:uid="{78E31484-E330-40FB-86E9-921C3B2E10C1}">
          <x14:formula1>
            <xm:f>Packages!$B$3:$B$7</xm:f>
          </x14:formula1>
          <xm:sqref>B69</xm:sqref>
        </x14:dataValidation>
        <x14:dataValidation type="list" allowBlank="1" showInputMessage="1" showErrorMessage="1" xr:uid="{4C1251BB-3EA9-413C-B1F5-CAA7C87890D6}">
          <x14:formula1>
            <xm:f>Packages!$B$23:$B$25</xm:f>
          </x14:formula1>
          <xm:sqref>B71</xm:sqref>
        </x14:dataValidation>
        <x14:dataValidation type="list" allowBlank="1" showInputMessage="1" showErrorMessage="1" xr:uid="{064B5507-E3F6-4177-AA8F-46AE93E0BC21}">
          <x14:formula1>
            <xm:f>Options!$C$9:$C$251</xm:f>
          </x14:formula1>
          <xm:sqref>A36:A56</xm:sqref>
        </x14:dataValidation>
        <x14:dataValidation type="list" allowBlank="1" showInputMessage="1" showErrorMessage="1" xr:uid="{AFAFF920-6926-41F7-BDB7-FA98AACE214B}">
          <x14:formula1>
            <xm:f>Packages!$B$29:$B$68</xm:f>
          </x14:formula1>
          <xm:sqref>A73:A90</xm:sqref>
        </x14:dataValidation>
        <x14:dataValidation type="list" allowBlank="1" showInputMessage="1" showErrorMessage="1" xr:uid="{378AA3CB-FC57-4F14-B70E-4C222F448123}">
          <x14:formula1>
            <xm:f>Brains!$K$3:$K$16</xm:f>
          </x14:formula1>
          <xm:sqref>B65</xm:sqref>
        </x14:dataValidation>
        <x14:dataValidation type="list" allowBlank="1" showInputMessage="1" showErrorMessage="1" xr:uid="{88C50766-5495-47D2-A554-BCA5A318EC83}">
          <x14:formula1>
            <xm:f>Brains!$B$3:$B$19</xm:f>
          </x14:formula1>
          <xm:sqref>B64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6170F-9F32-49D0-9AFC-585628A49B5F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804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2209200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5</v>
      </c>
      <c r="E4" s="114">
        <f>_xlfn.XLOOKUP(B4,Size[Size],Size[Base Slots],,,)</f>
        <v>16</v>
      </c>
      <c r="F4" s="37">
        <f>B4+O2</f>
        <v>20</v>
      </c>
      <c r="G4" s="168" t="s">
        <v>299</v>
      </c>
      <c r="H4" s="168"/>
      <c r="I4" s="169"/>
      <c r="J4" s="108">
        <f>_xlfn.XLOOKUP(B4,Size[Size],Size[Base hits],,,)</f>
        <v>20</v>
      </c>
      <c r="K4" s="170" t="s">
        <v>727</v>
      </c>
      <c r="L4" s="171"/>
      <c r="M4" s="52">
        <f>_xlfn.XLOOKUP(B4,Size[Size],Size[Basic Cost],,,)</f>
        <v>1000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/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10000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Advanced Engineer Droid</v>
      </c>
      <c r="S6" s="143">
        <f>M11</f>
        <v>20</v>
      </c>
      <c r="T6" s="143" t="str">
        <f>B5</f>
        <v>Walker</v>
      </c>
      <c r="U6" s="143" t="str">
        <f>_xlfn.CONCAT(J14," m")</f>
        <v>5 m</v>
      </c>
      <c r="V6" s="144">
        <f>O2</f>
        <v>15</v>
      </c>
      <c r="W6" s="147">
        <f>P91</f>
        <v>2454700</v>
      </c>
      <c r="X6" s="151">
        <f>IF(I2="Standard Design",0.1,0)</f>
        <v>0.1</v>
      </c>
      <c r="Y6" s="152">
        <v>2</v>
      </c>
      <c r="Z6" s="147">
        <f>FLOOR(P91*(1-X6),100)</f>
        <v>2209200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4</v>
      </c>
      <c r="E7" s="114" cm="1">
        <f t="array" ref="E7">IF(ROUNDUP(_xlfn.XLOOKUP($O$2,Armour[TL],Armour[Slots]*B7*E4,,,),0)&lt;B7/F7,-ROUNDUP(B7/F7,0),-ROUNDUP(_xlfn.XLOOKUP($O$2,Armour[TL],Armour[Slots]*B7*E4,,,),0))</f>
        <v>-1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8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(+8), </v>
      </c>
      <c r="P7" s="136" cm="1">
        <f t="array" ref="P7">IF(B7&gt;-1,_xlfn.XLOOKUP($O$2,Armour[TL],-Armour[Cost/Slot]*E7,,,),-P5*0.1)</f>
        <v>2500</v>
      </c>
      <c r="R7" s="213" t="s">
        <v>90</v>
      </c>
      <c r="S7" s="239" t="str">
        <f>_xlfn.CONCAT(O9,O13,O19:O28,O30:O34,O36:O57,O64,O69:O71,O73:O90)</f>
        <v xml:space="preserve">Athletics (endurance) 1, Athletics (strength) 1, Athletics (strength) 1, Electronics (all) 3, Engineer (all) 5, Mechanic 5, Profession (robotics) 3, </v>
      </c>
      <c r="T7" s="240"/>
      <c r="U7" s="240"/>
      <c r="V7" s="240"/>
      <c r="W7" s="240"/>
      <c r="X7" s="240"/>
      <c r="Y7" s="240"/>
      <c r="Z7" s="241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144</v>
      </c>
      <c r="K8" s="188" t="s">
        <v>64</v>
      </c>
      <c r="L8" s="189"/>
      <c r="M8" s="190"/>
      <c r="P8" s="136">
        <f>B8*0.5*P5</f>
        <v>0</v>
      </c>
      <c r="R8" s="215"/>
      <c r="S8" s="242"/>
      <c r="T8" s="243"/>
      <c r="U8" s="243"/>
      <c r="V8" s="243"/>
      <c r="W8" s="243"/>
      <c r="X8" s="243"/>
      <c r="Y8" s="243"/>
      <c r="Z8" s="244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-2</v>
      </c>
      <c r="F9" s="37"/>
      <c r="G9" s="179" t="s">
        <v>302</v>
      </c>
      <c r="H9" s="179"/>
      <c r="I9" s="180"/>
      <c r="J9" s="51">
        <f>J8*(1+B9)</f>
        <v>288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1000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9 DEX 9)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20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288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(+8), ATV, (idle), IR/UV Vision,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Self-aware (INT 12)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288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(improved), PRIS Sensor, Voder Speaker, Wireless Data Link, Cutting Torch (advanced), Drone Interface, Fire Extinguisher, Gecko Grippers, Quick Charger, Starship Engineer Toolkit (advanced), Storage Compartment (standard), Vacuum Environment Protection,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5</v>
      </c>
      <c r="C19" s="60">
        <f t="shared" ref="C19:C26" si="0">IF(B19=0,0,B19*2-1)</f>
        <v>9</v>
      </c>
      <c r="D19" s="95">
        <f>ROUNDUP($O$2/2+1,0)</f>
        <v>9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18</v>
      </c>
      <c r="G19" s="16"/>
      <c r="H19" s="60">
        <f t="shared" ref="H19:H28" si="2">C19+G19</f>
        <v>9</v>
      </c>
      <c r="I19" s="61">
        <f t="shared" ref="I19:I28" si="3">IF(H19&gt;17,4,IF(H19&gt;14,3,IF(H19&gt;11,2,IF(H19&gt;8,1,IF(H19&gt;5,0,IF(H19&gt;2,-1,-2))))))</f>
        <v>1</v>
      </c>
      <c r="J19" s="53">
        <f t="shared" ref="J19:J28" si="4">$O$2+3</f>
        <v>18</v>
      </c>
      <c r="K19" s="16"/>
      <c r="L19" s="60">
        <f t="shared" ref="L19:L28" si="5">D19+K19</f>
        <v>9</v>
      </c>
      <c r="M19" s="61">
        <f>IF(L19&gt;20,5,IF(L19&gt;17,4,IF(L19&gt;14,3,IF(L19&gt;11,2,IF(L19&gt;8,1,IF(L19&gt;5,0,IF(L19&gt;2,-1,-2)))))))</f>
        <v>1</v>
      </c>
      <c r="O19" s="12" t="str">
        <f>IF(I19&gt;0,_xlfn.CONCAT("Athletics (strength) ",I19,", "),"")</f>
        <v xml:space="preserve">Athletics (strength) 1, </v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5</v>
      </c>
      <c r="C20" s="6">
        <f t="shared" si="0"/>
        <v>9</v>
      </c>
      <c r="D20" s="96">
        <f t="shared" ref="D20:D26" si="6">IF(B20=0,0,ROUNDUP($O$2/2+1,0))</f>
        <v>9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18</v>
      </c>
      <c r="G20" s="16"/>
      <c r="H20" s="6">
        <f t="shared" si="2"/>
        <v>9</v>
      </c>
      <c r="I20" s="21">
        <f t="shared" si="3"/>
        <v>1</v>
      </c>
      <c r="J20" s="53">
        <f t="shared" si="4"/>
        <v>18</v>
      </c>
      <c r="K20" s="16"/>
      <c r="L20" s="6">
        <f t="shared" si="5"/>
        <v>9</v>
      </c>
      <c r="M20" s="61">
        <f t="shared" ref="M20:M28" si="7">IF(L20&gt;20,5,IF(L20&gt;17,4,IF(L20&gt;14,3,IF(L20&gt;11,2,IF(L20&gt;8,1,IF(L20&gt;5,0,IF(L20&gt;2,-1,-2)))))))</f>
        <v>1</v>
      </c>
      <c r="O20" s="12" t="str">
        <f t="shared" ref="O20:O28" si="8">IF(I20&gt;0,_xlfn.CONCAT("Athletics (strength) ",I20,", "),"")</f>
        <v xml:space="preserve">Athletics (strength) 1, </v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464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8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12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>+ Geiger counter</v>
      </c>
      <c r="I32" s="194"/>
      <c r="J32" s="194"/>
      <c r="K32" s="43">
        <f>_xlfn.XLOOKUP(A32,OptionsTable[Name],OptionsTable[TL],,,)</f>
        <v>12</v>
      </c>
      <c r="N32" s="5" t="str">
        <f>IF(_xlfn.XLOOKUP(A32,OptionsTable[Name],OptionsTable[Trait],,,)="","",_xlfn.XLOOKUP(A32,OptionsTable[Name],OptionsTable[Trait],,,))</f>
        <v xml:space="preserve">IR/UV Vision, </v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2000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559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-1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14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5000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284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0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/>
      </c>
      <c r="I37" s="194"/>
      <c r="J37" s="194"/>
      <c r="K37" s="43">
        <f>_xlfn.XLOOKUP(A37,OptionsTable[Name],OptionsTable[TL],,,)</f>
        <v>6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100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560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-1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/>
      </c>
      <c r="I38" s="194"/>
      <c r="J38" s="194"/>
      <c r="K38" s="43">
        <f>_xlfn.XLOOKUP(A38,OptionsTable[Name],OptionsTable[TL],,,)</f>
        <v>5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100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291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16</v>
      </c>
      <c r="G39" s="57"/>
      <c r="H39" s="193" t="str">
        <f>IF(_xlfn.XLOOKUP(A39,OptionsTable[Name],OptionsTable[Notes],,,)="","",_xlfn.XLOOKUP(A39,OptionsTable[Name],OptionsTable[Notes],,,))</f>
        <v/>
      </c>
      <c r="I39" s="194"/>
      <c r="J39" s="194"/>
      <c r="K39" s="43">
        <f>_xlfn.XLOOKUP(A39,OptionsTable[Name],OptionsTable[TL],,,)</f>
        <v>9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8000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641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-1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>1 hour recharge</v>
      </c>
      <c r="I40" s="194"/>
      <c r="J40" s="194"/>
      <c r="K40" s="43">
        <f>_xlfn.XLOOKUP(A40,OptionsTable[Name],OptionsTable[TL],,,)</f>
        <v>8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200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 t="s">
        <v>207</v>
      </c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-4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>3 max skill</v>
      </c>
      <c r="I41" s="194"/>
      <c r="J41" s="194"/>
      <c r="K41" s="43">
        <f>_xlfn.XLOOKUP(A41,OptionsTable[Name],OptionsTable[TL],,,)</f>
        <v>14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10000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 t="s">
        <v>471</v>
      </c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-4</v>
      </c>
      <c r="F42" s="37">
        <f>IF(_xlfn.XLOOKUP(A42,OptionsTable[Name],OptionsTable[xS],,,)=FALSE,1,IF($B$4&gt;0,$E$4,1))</f>
        <v>1</v>
      </c>
      <c r="G42" s="57">
        <v>4</v>
      </c>
      <c r="H42" s="193" t="str">
        <f>IF(_xlfn.XLOOKUP(A42,OptionsTable[Name],OptionsTable[Notes],,,)="","",_xlfn.XLOOKUP(A42,OptionsTable[Name],OptionsTable[Notes],,,))</f>
        <v>2 kg or litres / slot</v>
      </c>
      <c r="I42" s="194"/>
      <c r="J42" s="194"/>
      <c r="K42" s="43">
        <f>_xlfn.XLOOKUP(A42,OptionsTable[Name],OptionsTable[TL],,,)</f>
        <v>6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200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 t="s">
        <v>100</v>
      </c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16</v>
      </c>
      <c r="G43" s="57"/>
      <c r="H43" s="193" t="str">
        <f>IF(_xlfn.XLOOKUP(A43,OptionsTable[Name],OptionsTable[Notes],,,)="","",_xlfn.XLOOKUP(A43,OptionsTable[Name],OptionsTable[Notes],,,))</f>
        <v>+ Hostile env</v>
      </c>
      <c r="I43" s="194"/>
      <c r="J43" s="194"/>
      <c r="K43" s="43">
        <f>_xlfn.XLOOKUP(A43,OptionsTable[Name],OptionsTable[TL],,,)</f>
        <v>6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9600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84</v>
      </c>
      <c r="C64" s="224"/>
      <c r="D64" s="224"/>
      <c r="E64" s="39">
        <f>IF(L64+K64-O2&gt;B4,-1,0)</f>
        <v>-1</v>
      </c>
      <c r="F64" s="37"/>
      <c r="H64" s="1">
        <f>_xlfn.XLOOKUP(B64,Brains[Programming/Control],Brains[Base INT],,,)</f>
        <v>12</v>
      </c>
      <c r="I64" s="31">
        <f>IF(H64&gt;17,4,IF(H64&gt;14,3,IF(H64&gt;11,2,IF(H64&gt;8,1,IF(H64&gt;5,0,IF(H64&gt;2,-1,-2))))))</f>
        <v>2</v>
      </c>
      <c r="J64" s="1">
        <f>_xlfn.XLOOKUP(B64,Brains[Programming/Control],Brains[Computer/X],,,)</f>
        <v>10</v>
      </c>
      <c r="K64" s="43">
        <f>_xlfn.XLOOKUP(B64,Brains[Programming/Control],Brains[TL],,,)</f>
        <v>15</v>
      </c>
      <c r="L64">
        <f>_xlfn.XLOOKUP(B64,Brains[Programming/Control],Brains[Computer/X],,,)</f>
        <v>10</v>
      </c>
      <c r="M64" s="12" t="str">
        <f>_xlfn.XLOOKUP(B64,Brains[Programming/Control],Brains[Base capability (built-in no bandwidth, cumulative)],,,)</f>
        <v>Near sentient, Expert/3, Security/3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161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15</v>
      </c>
      <c r="L65">
        <f>_xlfn.XLOOKUP(B65,Bandwidth[Minimum Base Brain],Bandwidth[Bandwidth],,,)+L64</f>
        <v>20</v>
      </c>
      <c r="M65" t="s">
        <v>310</v>
      </c>
      <c r="P65" s="136">
        <f>_xlfn.XLOOKUP(B65,Bandwidth[Minimum Base Brain],Bandwidth[Cost],,,)</f>
        <v>500000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12</v>
      </c>
      <c r="I66" s="15">
        <f>IF(H66&gt;17,4,IF(H66&gt;14,3,IF(H66&gt;11,2,IF(H66&gt;8,1,IF(H66&gt;5,0,IF(H66&gt;2,-1,-2))))))</f>
        <v>2</v>
      </c>
      <c r="K66" s="43"/>
      <c r="L66" s="55">
        <f>L65+F66</f>
        <v>20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10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148</v>
      </c>
      <c r="B73" s="225" t="s">
        <v>794</v>
      </c>
      <c r="C73" s="226"/>
      <c r="D73" s="57">
        <v>1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4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9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Electronics (all) 3,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4000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149</v>
      </c>
      <c r="B74" s="193" t="s">
        <v>794</v>
      </c>
      <c r="C74" s="227"/>
      <c r="D74" s="57">
        <v>3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12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12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Engineer (all) 5,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800000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130</v>
      </c>
      <c r="B75" s="193"/>
      <c r="C75" s="227"/>
      <c r="D75" s="57">
        <v>3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3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11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Mechanic 5,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100000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135</v>
      </c>
      <c r="B76" s="193" t="s">
        <v>802</v>
      </c>
      <c r="C76" s="227"/>
      <c r="D76" s="57">
        <v>1</v>
      </c>
      <c r="E76" s="39"/>
      <c r="G76" s="59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>1</v>
      </c>
      <c r="I76" s="58" t="str">
        <f>_xlfn.XLOOKUP(A76,StandardBrain[Name],StandardBrain[Characteristic],,,)</f>
        <v>INT</v>
      </c>
      <c r="K76" s="43">
        <f>_xlfn.XLOOKUP(A76,StandardBrain[Name],StandardBrain[TL],,,)+D76</f>
        <v>10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 xml:space="preserve">Profession (robotics) 3, </v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2000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2454700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2209200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5">
    <sortCondition ref="A36:A45"/>
  </sortState>
  <dataConsolidate/>
  <mergeCells count="114">
    <mergeCell ref="B86:C86"/>
    <mergeCell ref="B87:C87"/>
    <mergeCell ref="B88:C88"/>
    <mergeCell ref="B89:C89"/>
    <mergeCell ref="B90:C90"/>
    <mergeCell ref="R7:R8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4:D64"/>
    <mergeCell ref="B65:D65"/>
    <mergeCell ref="B69:D69"/>
    <mergeCell ref="B70:D70"/>
    <mergeCell ref="B71:D71"/>
    <mergeCell ref="B73:C73"/>
    <mergeCell ref="A59:D59"/>
    <mergeCell ref="H59:I59"/>
    <mergeCell ref="A60:D60"/>
    <mergeCell ref="H60:I60"/>
    <mergeCell ref="A61:D61"/>
    <mergeCell ref="H61:I61"/>
    <mergeCell ref="A55:D55"/>
    <mergeCell ref="H55:J55"/>
    <mergeCell ref="A56:D56"/>
    <mergeCell ref="H56:J56"/>
    <mergeCell ref="A57:D57"/>
    <mergeCell ref="H57:J57"/>
    <mergeCell ref="A52:D52"/>
    <mergeCell ref="H52:J52"/>
    <mergeCell ref="A53:D53"/>
    <mergeCell ref="H53:J53"/>
    <mergeCell ref="A54:D54"/>
    <mergeCell ref="H54:J54"/>
    <mergeCell ref="A49:D49"/>
    <mergeCell ref="H49:J49"/>
    <mergeCell ref="A50:D50"/>
    <mergeCell ref="H50:J50"/>
    <mergeCell ref="A51:D51"/>
    <mergeCell ref="H51:J51"/>
    <mergeCell ref="A38:D38"/>
    <mergeCell ref="H38:J38"/>
    <mergeCell ref="A39:D39"/>
    <mergeCell ref="H39:J39"/>
    <mergeCell ref="A46:D46"/>
    <mergeCell ref="H46:J46"/>
    <mergeCell ref="A47:D47"/>
    <mergeCell ref="H47:J47"/>
    <mergeCell ref="A48:D48"/>
    <mergeCell ref="H48:J48"/>
    <mergeCell ref="A43:D43"/>
    <mergeCell ref="H43:J43"/>
    <mergeCell ref="A44:D44"/>
    <mergeCell ref="H44:J44"/>
    <mergeCell ref="A45:D45"/>
    <mergeCell ref="H45:J45"/>
    <mergeCell ref="H33:J33"/>
    <mergeCell ref="A34:D34"/>
    <mergeCell ref="H34:J34"/>
    <mergeCell ref="H35:J35"/>
    <mergeCell ref="A36:D36"/>
    <mergeCell ref="H36:J36"/>
    <mergeCell ref="R21:Z76"/>
    <mergeCell ref="B29:D29"/>
    <mergeCell ref="H29:J29"/>
    <mergeCell ref="A30:D30"/>
    <mergeCell ref="H30:J30"/>
    <mergeCell ref="A31:D31"/>
    <mergeCell ref="H31:J31"/>
    <mergeCell ref="A32:D32"/>
    <mergeCell ref="H32:J32"/>
    <mergeCell ref="A33:D33"/>
    <mergeCell ref="A40:D40"/>
    <mergeCell ref="H40:J40"/>
    <mergeCell ref="A41:D41"/>
    <mergeCell ref="H41:J41"/>
    <mergeCell ref="A42:D42"/>
    <mergeCell ref="H42:J42"/>
    <mergeCell ref="A37:D37"/>
    <mergeCell ref="H37:J37"/>
    <mergeCell ref="G11:H11"/>
    <mergeCell ref="K11:L11"/>
    <mergeCell ref="S12:Z12"/>
    <mergeCell ref="G12:O12"/>
    <mergeCell ref="S13:Z13"/>
    <mergeCell ref="R14:R18"/>
    <mergeCell ref="S14:Z18"/>
    <mergeCell ref="G9:I9"/>
    <mergeCell ref="K9:M9"/>
    <mergeCell ref="S10:Z10"/>
    <mergeCell ref="G10:H10"/>
    <mergeCell ref="K10:M10"/>
    <mergeCell ref="S11:Z11"/>
    <mergeCell ref="G5:I5"/>
    <mergeCell ref="H6:N6"/>
    <mergeCell ref="G7:I7"/>
    <mergeCell ref="G8:I8"/>
    <mergeCell ref="K8:M8"/>
    <mergeCell ref="S9:Z9"/>
    <mergeCell ref="S7:Z8"/>
    <mergeCell ref="B2:D2"/>
    <mergeCell ref="F2:H2"/>
    <mergeCell ref="I2:M2"/>
    <mergeCell ref="G3:J3"/>
    <mergeCell ref="G4:I4"/>
    <mergeCell ref="K4:L4"/>
  </mergeCells>
  <conditionalFormatting sqref="B14">
    <cfRule type="expression" dxfId="137" priority="6">
      <formula>ABS($J$14-6) &gt; 6</formula>
    </cfRule>
  </conditionalFormatting>
  <conditionalFormatting sqref="E2">
    <cfRule type="expression" dxfId="136" priority="4">
      <formula>$E$2&lt;0</formula>
    </cfRule>
  </conditionalFormatting>
  <conditionalFormatting sqref="E15:E17">
    <cfRule type="expression" dxfId="135" priority="1">
      <formula>AND($B$4=0,E15&lt;0)</formula>
    </cfRule>
  </conditionalFormatting>
  <conditionalFormatting sqref="K5 K30:K34 K36:K57 K59:K61 K64:K67 K73:K90">
    <cfRule type="expression" dxfId="134" priority="5">
      <formula>K5&gt;$O$2</formula>
    </cfRule>
  </conditionalFormatting>
  <conditionalFormatting sqref="L57">
    <cfRule type="expression" dxfId="133" priority="2">
      <formula>L57&gt;$O$2</formula>
    </cfRule>
  </conditionalFormatting>
  <conditionalFormatting sqref="L67">
    <cfRule type="expression" dxfId="132" priority="3">
      <formula>L67&lt;0</formula>
    </cfRule>
  </conditionalFormatting>
  <dataValidations count="20">
    <dataValidation type="whole" allowBlank="1" showInputMessage="1" showErrorMessage="1" error="Total Armour cannot exceed Maximum" sqref="B7" xr:uid="{262201E6-39BD-41CB-9248-D3AD5AA99E27}">
      <formula1>-1</formula1>
      <formula2>L7-MID(A7,18,1)</formula2>
    </dataValidation>
    <dataValidation type="whole" allowBlank="1" showInputMessage="1" showErrorMessage="1" error="Max DEX = TL+3" sqref="K19:K28" xr:uid="{A44CCA99-A5B7-46E7-9F17-D8687FBA102D}">
      <formula1>0</formula1>
      <formula2>J19-D19</formula2>
    </dataValidation>
    <dataValidation type="whole" allowBlank="1" showInputMessage="1" showErrorMessage="1" error="Max STR = Lesser of Size + TL or SIZE X 4" sqref="G19:G28" xr:uid="{78C9C55C-5E13-4766-92E8-03853C7FA699}">
      <formula1>0</formula1>
      <formula2>F19-C19</formula2>
    </dataValidation>
    <dataValidation type="whole" allowBlank="1" showInputMessage="1" showErrorMessage="1" sqref="E13:E14" xr:uid="{22FB2934-F6B1-4E49-8F02-D401D2C5A9B2}">
      <formula1>0</formula1>
      <formula2>#REF!/2</formula2>
    </dataValidation>
    <dataValidation type="whole" allowBlank="1" showInputMessage="1" showErrorMessage="1" sqref="C14:D14" xr:uid="{F387549F-A70D-43D0-89A2-B9BEBC81C4BF}">
      <formula1>0</formula1>
      <formula2>D15/2</formula2>
    </dataValidation>
    <dataValidation type="whole" allowBlank="1" showInputMessage="1" showErrorMessage="1" sqref="C13:D13" xr:uid="{E6CEA171-0673-4009-814B-DE5E306202B9}">
      <formula1>0</formula1>
      <formula2>D5/2</formula2>
    </dataValidation>
    <dataValidation type="whole" allowBlank="1" showInputMessage="1" showErrorMessage="1" sqref="C11:D11" xr:uid="{D932E2DC-A7F6-42DC-84A8-2EA19D862C02}">
      <formula1>0</formula1>
      <formula2>D4/2</formula2>
    </dataValidation>
    <dataValidation type="whole" allowBlank="1" showInputMessage="1" showErrorMessage="1" error="Must be whole number between -6 and +12" sqref="B14" xr:uid="{1C7C89D9-0C80-4C62-970F-C2541E72E2F9}">
      <formula1>-6</formula1>
      <formula2>12</formula2>
    </dataValidation>
    <dataValidation type="list" allowBlank="1" showInputMessage="1" showErrorMessage="1" sqref="B16" xr:uid="{6B677AEE-EA7E-4B72-97E8-4F340C8A543F}">
      <formula1>"No,1X,2X,3X"</formula1>
    </dataValidation>
    <dataValidation type="list" allowBlank="1" showInputMessage="1" showErrorMessage="1" sqref="B15" xr:uid="{0D36F694-981F-4525-8BB2-0A1C2C4FD9A8}">
      <formula1>"FALSE,TRUE"</formula1>
    </dataValidation>
    <dataValidation type="list" allowBlank="1" showInputMessage="1" showErrorMessage="1" sqref="D73:D90 B66" xr:uid="{72703C48-3D19-4A25-BB0A-D7EFC1B22B87}">
      <formula1>"0,1,2,3"</formula1>
    </dataValidation>
    <dataValidation type="list" allowBlank="1" showInputMessage="1" showErrorMessage="1" sqref="B13" xr:uid="{907E9F8F-52CB-4B89-8793-EA622B7E0E01}">
      <formula1>"0,1,2,3,4"</formula1>
    </dataValidation>
    <dataValidation type="list" allowBlank="1" showInputMessage="1" showErrorMessage="1" sqref="B27:B28 B67 B8" xr:uid="{A5BAD145-337B-49C3-B021-0181693F9AE8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13F5D3D9-E5B9-46C6-8BD1-A39B7B843333}">
      <formula1>0</formula1>
      <formula2>$B$4+2</formula2>
    </dataValidation>
    <dataValidation type="list" allowBlank="1" showInputMessage="1" showErrorMessage="1" sqref="O2" xr:uid="{19EB364E-D865-4C5A-A6A6-C96B804943BD}">
      <formula1>"7,8,9,10,11,12,13,14,15,16,17,18"</formula1>
    </dataValidation>
    <dataValidation type="list" allowBlank="1" showInputMessage="1" showErrorMessage="1" sqref="B4" xr:uid="{F9C48A87-D474-4AC7-B19A-DD00967C51AF}">
      <formula1>"0,1,2,3,4,5,6,7,8"</formula1>
    </dataValidation>
    <dataValidation type="list" allowBlank="1" showInputMessage="1" showErrorMessage="1" error="Maximum = 3" sqref="B9" xr:uid="{D6D5D8D7-F321-44A7-B45A-287DDCEB6A51}">
      <formula1>"0,1,2,3"</formula1>
    </dataValidation>
    <dataValidation type="whole" allowBlank="1" showInputMessage="1" showErrorMessage="1" sqref="E11" xr:uid="{772EE406-9402-4D56-843B-183DB5E33BA0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8CD09F81-EF6D-41F8-A34B-564CAFAA5B99}">
      <formula1>0</formula1>
      <formula2>E4/2</formula2>
    </dataValidation>
    <dataValidation type="whole" allowBlank="1" showInputMessage="1" showErrorMessage="1" error="Must be a negative number no less than a 50% of the base hits" sqref="B11" xr:uid="{741ADEC9-CEF6-4EFD-B88E-6BB054233B56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E891ED5-1325-4AAB-BD75-7F51DEF94244}">
          <x14:formula1>
            <xm:f>Packages!$B$23:$B$25</xm:f>
          </x14:formula1>
          <xm:sqref>B71</xm:sqref>
        </x14:dataValidation>
        <x14:dataValidation type="list" allowBlank="1" showInputMessage="1" showErrorMessage="1" xr:uid="{544A4232-38E6-4DB9-AF63-19ECFFF9E54E}">
          <x14:formula1>
            <xm:f>Packages!$B$3:$B$7</xm:f>
          </x14:formula1>
          <xm:sqref>B69</xm:sqref>
        </x14:dataValidation>
        <x14:dataValidation type="list" allowBlank="1" showInputMessage="1" showErrorMessage="1" xr:uid="{6E022A9C-FC1C-44A8-8E6D-92FEF24C4A91}">
          <x14:formula1>
            <xm:f>Packages!$B$11:$B$19</xm:f>
          </x14:formula1>
          <xm:sqref>B70</xm:sqref>
        </x14:dataValidation>
        <x14:dataValidation type="list" allowBlank="1" showInputMessage="1" showErrorMessage="1" xr:uid="{4E768CBD-6D04-40FD-B3CA-878E146C5E8E}">
          <x14:formula1>
            <xm:f>Chassis!$H$3:$H$13</xm:f>
          </x14:formula1>
          <xm:sqref>B17 B5</xm:sqref>
        </x14:dataValidation>
        <x14:dataValidation type="list" allowBlank="1" showInputMessage="1" showErrorMessage="1" xr:uid="{7464AFC4-09C0-4733-A118-C7E1B6754B12}">
          <x14:formula1>
            <xm:f>Options!$C$9:$C$71</xm:f>
          </x14:formula1>
          <xm:sqref>A30:A34</xm:sqref>
        </x14:dataValidation>
        <x14:dataValidation type="list" allowBlank="1" showInputMessage="1" showErrorMessage="1" xr:uid="{6BAACA49-3A43-487E-B77F-70799DAD2116}">
          <x14:formula1>
            <xm:f>Options!$C$9:$C$251</xm:f>
          </x14:formula1>
          <xm:sqref>A36:A56</xm:sqref>
        </x14:dataValidation>
        <x14:dataValidation type="list" allowBlank="1" showInputMessage="1" showErrorMessage="1" xr:uid="{0EE46F53-243E-42DD-9DA8-542F50EE502A}">
          <x14:formula1>
            <xm:f>Packages!$B$29:$B$68</xm:f>
          </x14:formula1>
          <xm:sqref>A73:A90</xm:sqref>
        </x14:dataValidation>
        <x14:dataValidation type="list" allowBlank="1" showInputMessage="1" showErrorMessage="1" xr:uid="{D820BB0D-198F-41AF-A268-4BC0FECEE235}">
          <x14:formula1>
            <xm:f>Brains!$K$3:$K$16</xm:f>
          </x14:formula1>
          <xm:sqref>B65</xm:sqref>
        </x14:dataValidation>
        <x14:dataValidation type="list" allowBlank="1" showInputMessage="1" showErrorMessage="1" xr:uid="{9CEF6E67-0E1B-49BA-932E-02C5CA4D7F4B}">
          <x14:formula1>
            <xm:f>Brains!$B$3:$B$19</xm:f>
          </x14:formula1>
          <xm:sqref>B64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0FBCA-6104-47C4-AC77-54215F3DF81C}">
  <sheetPr>
    <tabColor rgb="FF92D050"/>
  </sheetPr>
  <dimension ref="A1:Z110"/>
  <sheetViews>
    <sheetView workbookViewId="0">
      <pane ySplit="3" topLeftCell="A4" activePane="bottomLeft" state="frozen"/>
      <selection pane="bottomLeft" activeCell="B65" sqref="B65:D65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843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8955600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5</v>
      </c>
      <c r="E4" s="114">
        <f>_xlfn.XLOOKUP(B4,Size[Size],Size[Base Slots],,,)</f>
        <v>16</v>
      </c>
      <c r="F4" s="37">
        <f>B4+O2</f>
        <v>20</v>
      </c>
      <c r="G4" s="168" t="s">
        <v>299</v>
      </c>
      <c r="H4" s="168"/>
      <c r="I4" s="169"/>
      <c r="J4" s="108">
        <f>_xlfn.XLOOKUP(B4,Size[Size],Size[Base hits],,,)</f>
        <v>20</v>
      </c>
      <c r="K4" s="170" t="s">
        <v>727</v>
      </c>
      <c r="L4" s="171"/>
      <c r="M4" s="52">
        <f>_xlfn.XLOOKUP(B4,Size[Size],Size[Basic Cost],,,)</f>
        <v>1000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/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10000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Advanced Engineer Plus Droid</v>
      </c>
      <c r="S6" s="143">
        <f>M11</f>
        <v>20</v>
      </c>
      <c r="T6" s="143" t="str">
        <f>B5</f>
        <v>Walker</v>
      </c>
      <c r="U6" s="143" t="str">
        <f>_xlfn.CONCAT(J14," m")</f>
        <v>5 m</v>
      </c>
      <c r="V6" s="144">
        <f>O2</f>
        <v>15</v>
      </c>
      <c r="W6" s="147">
        <f>P91</f>
        <v>9950700</v>
      </c>
      <c r="X6" s="151">
        <f>IF(I2="Standard Design",0.1,0)</f>
        <v>0.1</v>
      </c>
      <c r="Y6" s="152">
        <v>2</v>
      </c>
      <c r="Z6" s="147">
        <f>FLOOR(P91*(1-X6),100)</f>
        <v>8955600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4</v>
      </c>
      <c r="E7" s="114" cm="1">
        <f t="array" ref="E7">IF(ROUNDUP(_xlfn.XLOOKUP($O$2,Armour[TL],Armour[Slots]*B7*E4,,,),0)&lt;B7/F7,-ROUNDUP(B7/F7,0),-ROUNDUP(_xlfn.XLOOKUP($O$2,Armour[TL],Armour[Slots]*B7*E4,,,),0))</f>
        <v>-1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8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(+8), </v>
      </c>
      <c r="P7" s="136" cm="1">
        <f t="array" ref="P7">IF(B7&gt;-1,_xlfn.XLOOKUP($O$2,Armour[TL],-Armour[Cost/Slot]*E7,,,),-P5*0.1)</f>
        <v>2500</v>
      </c>
      <c r="R7" s="213" t="s">
        <v>90</v>
      </c>
      <c r="S7" s="239" t="str">
        <f>_xlfn.CONCAT(O9,O13,O19:O28,O30:O34,O36:O57,O64,O69:O71,O73:O90)</f>
        <v xml:space="preserve">Athletics (endurance) 1, Athletics (strength) 1, Athletics (strength) 1, Electronics (all) 5, Engineer (all) 6, Mechanic 6, Profession (robotics) 4, </v>
      </c>
      <c r="T7" s="240"/>
      <c r="U7" s="240"/>
      <c r="V7" s="240"/>
      <c r="W7" s="240"/>
      <c r="X7" s="240"/>
      <c r="Y7" s="240"/>
      <c r="Z7" s="241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144</v>
      </c>
      <c r="K8" s="188" t="s">
        <v>64</v>
      </c>
      <c r="L8" s="189"/>
      <c r="M8" s="190"/>
      <c r="P8" s="136">
        <f>B8*0.5*P5</f>
        <v>0</v>
      </c>
      <c r="R8" s="215"/>
      <c r="S8" s="242"/>
      <c r="T8" s="243"/>
      <c r="U8" s="243"/>
      <c r="V8" s="243"/>
      <c r="W8" s="243"/>
      <c r="X8" s="243"/>
      <c r="Y8" s="243"/>
      <c r="Z8" s="244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-2</v>
      </c>
      <c r="F9" s="37"/>
      <c r="G9" s="179" t="s">
        <v>302</v>
      </c>
      <c r="H9" s="179"/>
      <c r="I9" s="180"/>
      <c r="J9" s="51">
        <f>J8*(1+B9)</f>
        <v>288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1000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9 DEX 9)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20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288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(+8), ATV, (idle), IR/UV Vision,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Self-aware (INT 15)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288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(improved), PRIS Sensor, Voder Speaker, Wireless Data Link, Cutting Torch (advanced), Drone Interface, Fire Extinguisher, Gecko Grippers, Quick Charger, Starship Engineer Toolkit (advanced), Storage Compartment (standard), Vacuum Environment Protection,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5</v>
      </c>
      <c r="C19" s="60">
        <f t="shared" ref="C19:C26" si="0">IF(B19=0,0,B19*2-1)</f>
        <v>9</v>
      </c>
      <c r="D19" s="95">
        <f>ROUNDUP($O$2/2+1,0)</f>
        <v>9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18</v>
      </c>
      <c r="G19" s="16"/>
      <c r="H19" s="60">
        <f t="shared" ref="H19:H28" si="2">C19+G19</f>
        <v>9</v>
      </c>
      <c r="I19" s="61">
        <f t="shared" ref="I19:I28" si="3">IF(H19&gt;17,4,IF(H19&gt;14,3,IF(H19&gt;11,2,IF(H19&gt;8,1,IF(H19&gt;5,0,IF(H19&gt;2,-1,-2))))))</f>
        <v>1</v>
      </c>
      <c r="J19" s="53">
        <f t="shared" ref="J19:J28" si="4">$O$2+3</f>
        <v>18</v>
      </c>
      <c r="K19" s="16"/>
      <c r="L19" s="60">
        <f t="shared" ref="L19:L28" si="5">D19+K19</f>
        <v>9</v>
      </c>
      <c r="M19" s="61">
        <f>IF(L19&gt;20,5,IF(L19&gt;17,4,IF(L19&gt;14,3,IF(L19&gt;11,2,IF(L19&gt;8,1,IF(L19&gt;5,0,IF(L19&gt;2,-1,-2)))))))</f>
        <v>1</v>
      </c>
      <c r="O19" s="12" t="str">
        <f>IF(I19&gt;0,_xlfn.CONCAT("Athletics (strength) ",I19,", "),"")</f>
        <v xml:space="preserve">Athletics (strength) 1, </v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5</v>
      </c>
      <c r="C20" s="6">
        <f t="shared" si="0"/>
        <v>9</v>
      </c>
      <c r="D20" s="96">
        <f t="shared" ref="D20:D26" si="6">IF(B20=0,0,ROUNDUP($O$2/2+1,0))</f>
        <v>9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18</v>
      </c>
      <c r="G20" s="16"/>
      <c r="H20" s="6">
        <f t="shared" si="2"/>
        <v>9</v>
      </c>
      <c r="I20" s="21">
        <f t="shared" si="3"/>
        <v>1</v>
      </c>
      <c r="J20" s="53">
        <f t="shared" si="4"/>
        <v>18</v>
      </c>
      <c r="K20" s="16"/>
      <c r="L20" s="6">
        <f t="shared" si="5"/>
        <v>9</v>
      </c>
      <c r="M20" s="61">
        <f t="shared" ref="M20:M28" si="7">IF(L20&gt;20,5,IF(L20&gt;17,4,IF(L20&gt;14,3,IF(L20&gt;11,2,IF(L20&gt;8,1,IF(L20&gt;5,0,IF(L20&gt;2,-1,-2)))))))</f>
        <v>1</v>
      </c>
      <c r="O20" s="12" t="str">
        <f t="shared" ref="O20:O28" si="8">IF(I20&gt;0,_xlfn.CONCAT("Athletics (strength) ",I20,", "),"")</f>
        <v xml:space="preserve">Athletics (strength) 1, </v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464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8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12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>+ Geiger counter</v>
      </c>
      <c r="I32" s="194"/>
      <c r="J32" s="194"/>
      <c r="K32" s="43">
        <f>_xlfn.XLOOKUP(A32,OptionsTable[Name],OptionsTable[TL],,,)</f>
        <v>12</v>
      </c>
      <c r="N32" s="5" t="str">
        <f>IF(_xlfn.XLOOKUP(A32,OptionsTable[Name],OptionsTable[Trait],,,)="","",_xlfn.XLOOKUP(A32,OptionsTable[Name],OptionsTable[Trait],,,))</f>
        <v xml:space="preserve">IR/UV Vision, </v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2000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559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-1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14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5000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284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0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/>
      </c>
      <c r="I37" s="194"/>
      <c r="J37" s="194"/>
      <c r="K37" s="43">
        <f>_xlfn.XLOOKUP(A37,OptionsTable[Name],OptionsTable[TL],,,)</f>
        <v>6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100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560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-1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/>
      </c>
      <c r="I38" s="194"/>
      <c r="J38" s="194"/>
      <c r="K38" s="43">
        <f>_xlfn.XLOOKUP(A38,OptionsTable[Name],OptionsTable[TL],,,)</f>
        <v>5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100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291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16</v>
      </c>
      <c r="G39" s="57"/>
      <c r="H39" s="193" t="str">
        <f>IF(_xlfn.XLOOKUP(A39,OptionsTable[Name],OptionsTable[Notes],,,)="","",_xlfn.XLOOKUP(A39,OptionsTable[Name],OptionsTable[Notes],,,))</f>
        <v/>
      </c>
      <c r="I39" s="194"/>
      <c r="J39" s="194"/>
      <c r="K39" s="43">
        <f>_xlfn.XLOOKUP(A39,OptionsTable[Name],OptionsTable[TL],,,)</f>
        <v>9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8000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641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-1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>1 hour recharge</v>
      </c>
      <c r="I40" s="194"/>
      <c r="J40" s="194"/>
      <c r="K40" s="43">
        <f>_xlfn.XLOOKUP(A40,OptionsTable[Name],OptionsTable[TL],,,)</f>
        <v>8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200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 t="s">
        <v>207</v>
      </c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-4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>3 max skill</v>
      </c>
      <c r="I41" s="194"/>
      <c r="J41" s="194"/>
      <c r="K41" s="43">
        <f>_xlfn.XLOOKUP(A41,OptionsTable[Name],OptionsTable[TL],,,)</f>
        <v>14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10000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 t="s">
        <v>471</v>
      </c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-4</v>
      </c>
      <c r="F42" s="37">
        <f>IF(_xlfn.XLOOKUP(A42,OptionsTable[Name],OptionsTable[xS],,,)=FALSE,1,IF($B$4&gt;0,$E$4,1))</f>
        <v>1</v>
      </c>
      <c r="G42" s="57">
        <v>4</v>
      </c>
      <c r="H42" s="193" t="str">
        <f>IF(_xlfn.XLOOKUP(A42,OptionsTable[Name],OptionsTable[Notes],,,)="","",_xlfn.XLOOKUP(A42,OptionsTable[Name],OptionsTable[Notes],,,))</f>
        <v>2 kg or litres / slot</v>
      </c>
      <c r="I42" s="194"/>
      <c r="J42" s="194"/>
      <c r="K42" s="43">
        <f>_xlfn.XLOOKUP(A42,OptionsTable[Name],OptionsTable[TL],,,)</f>
        <v>6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200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 t="s">
        <v>100</v>
      </c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16</v>
      </c>
      <c r="G43" s="57"/>
      <c r="H43" s="193" t="str">
        <f>IF(_xlfn.XLOOKUP(A43,OptionsTable[Name],OptionsTable[Notes],,,)="","",_xlfn.XLOOKUP(A43,OptionsTable[Name],OptionsTable[Notes],,,))</f>
        <v>+ Hostile env</v>
      </c>
      <c r="I43" s="194"/>
      <c r="J43" s="194"/>
      <c r="K43" s="43">
        <f>_xlfn.XLOOKUP(A43,OptionsTable[Name],OptionsTable[TL],,,)</f>
        <v>6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9600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84</v>
      </c>
      <c r="C64" s="224"/>
      <c r="D64" s="224"/>
      <c r="E64" s="39">
        <f>IF(L64+K64-O2&gt;B4,-1,0)</f>
        <v>-1</v>
      </c>
      <c r="F64" s="37"/>
      <c r="H64" s="1">
        <f>_xlfn.XLOOKUP(B64,Brains[Programming/Control],Brains[Base INT],,,)</f>
        <v>12</v>
      </c>
      <c r="I64" s="31">
        <f>IF(H64&gt;17,4,IF(H64&gt;14,3,IF(H64&gt;11,2,IF(H64&gt;8,1,IF(H64&gt;5,0,IF(H64&gt;2,-1,-2))))))</f>
        <v>2</v>
      </c>
      <c r="J64" s="1">
        <f>_xlfn.XLOOKUP(B64,Brains[Programming/Control],Brains[Computer/X],,,)</f>
        <v>10</v>
      </c>
      <c r="K64" s="43">
        <f>_xlfn.XLOOKUP(B64,Brains[Programming/Control],Brains[TL],,,)</f>
        <v>15</v>
      </c>
      <c r="L64">
        <f>_xlfn.XLOOKUP(B64,Brains[Programming/Control],Brains[Computer/X],,,)</f>
        <v>10</v>
      </c>
      <c r="M64" s="12" t="str">
        <f>_xlfn.XLOOKUP(B64,Brains[Programming/Control],Brains[Base capability (built-in no bandwidth, cumulative)],,,)</f>
        <v>Near sentient, Expert/3, Security/3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163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15</v>
      </c>
      <c r="L65">
        <f>_xlfn.XLOOKUP(B65,Bandwidth[Minimum Base Brain],Bandwidth[Bandwidth],,,)+L64</f>
        <v>30</v>
      </c>
      <c r="M65" t="s">
        <v>310</v>
      </c>
      <c r="P65" s="136">
        <f>_xlfn.XLOOKUP(B65,Bandwidth[Minimum Base Brain],Bandwidth[Cost],,,)</f>
        <v>2500000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3</v>
      </c>
      <c r="E66" s="39"/>
      <c r="F66" s="37" cm="1">
        <f t="array" ref="F66">_xlfn.IFS(B66=0,0,B66=1,-1,B66=2,-3,B66=3,-6)</f>
        <v>-6</v>
      </c>
      <c r="H66" s="6">
        <f>H64+B66</f>
        <v>15</v>
      </c>
      <c r="I66" s="15">
        <f>IF(H66&gt;17,4,IF(H66&gt;14,3,IF(H66&gt;11,2,IF(H66&gt;8,1,IF(H66&gt;5,0,IF(H66&gt;2,-1,-2))))))</f>
        <v>3</v>
      </c>
      <c r="K66" s="43"/>
      <c r="L66" s="55">
        <f>L65+F66</f>
        <v>24</v>
      </c>
      <c r="M66" t="s">
        <v>310</v>
      </c>
      <c r="P66" s="136" cm="1">
        <f t="array" ref="P66">_xlfn.IFS(B66=0,0,B66=1,(H64+1)*1000,B66=2,(H64+1)*(H64+2)*1000,B66=3,(H64+1)*(H64+2)*(H64+3)*1000)*IF(H66&gt;11,2,1)</f>
        <v>5460000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10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148</v>
      </c>
      <c r="B73" s="225" t="s">
        <v>794</v>
      </c>
      <c r="C73" s="226"/>
      <c r="D73" s="57">
        <v>2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8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10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Electronics (all) 5,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40000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149</v>
      </c>
      <c r="B74" s="193" t="s">
        <v>794</v>
      </c>
      <c r="C74" s="227"/>
      <c r="D74" s="57">
        <v>3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12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12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Engineer (all) 6,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800000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130</v>
      </c>
      <c r="B75" s="193"/>
      <c r="C75" s="227"/>
      <c r="D75" s="57">
        <v>3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3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11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Mechanic 6,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100000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135</v>
      </c>
      <c r="B76" s="193" t="s">
        <v>802</v>
      </c>
      <c r="C76" s="227"/>
      <c r="D76" s="57">
        <v>1</v>
      </c>
      <c r="E76" s="39"/>
      <c r="G76" s="59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>1</v>
      </c>
      <c r="I76" s="58" t="str">
        <f>_xlfn.XLOOKUP(A76,StandardBrain[Name],StandardBrain[Characteristic],,,)</f>
        <v>INT</v>
      </c>
      <c r="K76" s="43">
        <f>_xlfn.XLOOKUP(A76,StandardBrain[Name],StandardBrain[TL],,,)+D76</f>
        <v>10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 xml:space="preserve">Profession (robotics) 4, </v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2000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9950700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8955600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dataConsolidate/>
  <mergeCells count="114">
    <mergeCell ref="B90:C90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1:D71"/>
    <mergeCell ref="B73:C73"/>
    <mergeCell ref="B74:C74"/>
    <mergeCell ref="B75:C75"/>
    <mergeCell ref="B76:C76"/>
    <mergeCell ref="B77:C77"/>
    <mergeCell ref="A61:D61"/>
    <mergeCell ref="H61:I61"/>
    <mergeCell ref="B64:D64"/>
    <mergeCell ref="B65:D65"/>
    <mergeCell ref="B69:D69"/>
    <mergeCell ref="B70:D70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A45:D45"/>
    <mergeCell ref="H45:J45"/>
    <mergeCell ref="A46:D46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A39:D39"/>
    <mergeCell ref="H39:J39"/>
    <mergeCell ref="A40:D40"/>
    <mergeCell ref="H40:J40"/>
    <mergeCell ref="A41:D41"/>
    <mergeCell ref="H41:J41"/>
    <mergeCell ref="A36:D36"/>
    <mergeCell ref="H36:J36"/>
    <mergeCell ref="A37:D37"/>
    <mergeCell ref="H37:J37"/>
    <mergeCell ref="A38:D38"/>
    <mergeCell ref="H38:J38"/>
    <mergeCell ref="H32:J32"/>
    <mergeCell ref="A33:D33"/>
    <mergeCell ref="H33:J33"/>
    <mergeCell ref="A34:D34"/>
    <mergeCell ref="H34:J34"/>
    <mergeCell ref="H35:J35"/>
    <mergeCell ref="R14:R18"/>
    <mergeCell ref="S14:Z18"/>
    <mergeCell ref="R21:Z76"/>
    <mergeCell ref="B29:D29"/>
    <mergeCell ref="H29:J29"/>
    <mergeCell ref="A30:D30"/>
    <mergeCell ref="H30:J30"/>
    <mergeCell ref="A31:D31"/>
    <mergeCell ref="H31:J31"/>
    <mergeCell ref="A32:D32"/>
    <mergeCell ref="G11:H11"/>
    <mergeCell ref="K11:L11"/>
    <mergeCell ref="S11:Z11"/>
    <mergeCell ref="G12:O12"/>
    <mergeCell ref="S12:Z12"/>
    <mergeCell ref="S13:Z13"/>
    <mergeCell ref="G9:I9"/>
    <mergeCell ref="K9:M9"/>
    <mergeCell ref="S9:Z9"/>
    <mergeCell ref="G10:H10"/>
    <mergeCell ref="K10:M10"/>
    <mergeCell ref="S10:Z10"/>
    <mergeCell ref="G5:I5"/>
    <mergeCell ref="H6:N6"/>
    <mergeCell ref="G7:I7"/>
    <mergeCell ref="R7:R8"/>
    <mergeCell ref="S7:Z8"/>
    <mergeCell ref="G8:I8"/>
    <mergeCell ref="K8:M8"/>
    <mergeCell ref="B2:D2"/>
    <mergeCell ref="F2:H2"/>
    <mergeCell ref="I2:M2"/>
    <mergeCell ref="G3:J3"/>
    <mergeCell ref="G4:I4"/>
    <mergeCell ref="K4:L4"/>
  </mergeCells>
  <conditionalFormatting sqref="B14">
    <cfRule type="expression" dxfId="5" priority="6">
      <formula>ABS($J$14-6) &gt; 6</formula>
    </cfRule>
  </conditionalFormatting>
  <conditionalFormatting sqref="E2">
    <cfRule type="expression" dxfId="4" priority="4">
      <formula>$E$2&lt;0</formula>
    </cfRule>
  </conditionalFormatting>
  <conditionalFormatting sqref="E15:E17">
    <cfRule type="expression" dxfId="3" priority="1">
      <formula>AND($B$4=0,E15&lt;0)</formula>
    </cfRule>
  </conditionalFormatting>
  <conditionalFormatting sqref="K5 K30:K34 K36:K57 K59:K61 K64:K67 K73:K90">
    <cfRule type="expression" dxfId="2" priority="5">
      <formula>K5&gt;$O$2</formula>
    </cfRule>
  </conditionalFormatting>
  <conditionalFormatting sqref="L57">
    <cfRule type="expression" dxfId="1" priority="2">
      <formula>L57&gt;$O$2</formula>
    </cfRule>
  </conditionalFormatting>
  <conditionalFormatting sqref="L67">
    <cfRule type="expression" dxfId="0" priority="3">
      <formula>L67&lt;0</formula>
    </cfRule>
  </conditionalFormatting>
  <dataValidations count="20">
    <dataValidation type="whole" allowBlank="1" showInputMessage="1" showErrorMessage="1" error="Must be a negative number no less than a 50% of the base hits" sqref="B11" xr:uid="{3D7DFAEE-7158-4982-A228-263C5907DDAA}">
      <formula1>-J4/2</formula1>
      <formula2>0</formula2>
    </dataValidation>
    <dataValidation type="whole" allowBlank="1" showInputMessage="1" showErrorMessage="1" error="Must be whole number. No more than 50% of slots may be used for Resiliency" sqref="B10" xr:uid="{252E7151-9F81-47F8-B238-956FD38E9E6A}">
      <formula1>0</formula1>
      <formula2>E4/2</formula2>
    </dataValidation>
    <dataValidation type="whole" allowBlank="1" showInputMessage="1" showErrorMessage="1" sqref="E11" xr:uid="{98C022C9-0576-4F11-9832-181659B04137}">
      <formula1>0</formula1>
      <formula2>J4/2</formula2>
    </dataValidation>
    <dataValidation type="list" allowBlank="1" showInputMessage="1" showErrorMessage="1" error="Maximum = 3" sqref="B9" xr:uid="{80F6E741-B5E9-46C0-94B6-0968FEA92FE8}">
      <formula1>"0,1,2,3"</formula1>
    </dataValidation>
    <dataValidation type="list" allowBlank="1" showInputMessage="1" showErrorMessage="1" sqref="B4" xr:uid="{931A2307-BA67-41B7-9E3B-59FC2FCA5B29}">
      <formula1>"0,1,2,3,4,5,6,7,8"</formula1>
    </dataValidation>
    <dataValidation type="list" allowBlank="1" showInputMessage="1" showErrorMessage="1" sqref="O2" xr:uid="{2910129B-FAA6-45C1-A4B6-36938F7428FD}">
      <formula1>"7,8,9,10,11,12,13,14,15,16,17,18"</formula1>
    </dataValidation>
    <dataValidation type="whole" allowBlank="1" showInputMessage="1" showErrorMessage="1" error="Max Manipulator Size = Chassis Size +2_x000a_Min Manipulator Size = 0_x000a_Whole Numbers Only" sqref="B19:B26" xr:uid="{43F70F48-2A98-4BD6-9271-7EDE3CA1FA7C}">
      <formula1>0</formula1>
      <formula2>$B$4+2</formula2>
    </dataValidation>
    <dataValidation type="list" allowBlank="1" showInputMessage="1" showErrorMessage="1" sqref="B27:B28 B67 B8" xr:uid="{900E55E1-5173-4F1C-A591-2584C09585B3}">
      <formula1>"TRUE,FALSE"</formula1>
    </dataValidation>
    <dataValidation type="list" allowBlank="1" showInputMessage="1" showErrorMessage="1" sqref="B13" xr:uid="{95418425-474D-427F-8E30-C57868C6C03B}">
      <formula1>"0,1,2,3,4"</formula1>
    </dataValidation>
    <dataValidation type="list" allowBlank="1" showInputMessage="1" showErrorMessage="1" sqref="D73:D90 B66" xr:uid="{66B13538-9C93-4FC6-9426-6258BE90C0D9}">
      <formula1>"0,1,2,3"</formula1>
    </dataValidation>
    <dataValidation type="list" allowBlank="1" showInputMessage="1" showErrorMessage="1" sqref="B15" xr:uid="{D1BA7711-6181-435D-8BEF-4FDA3E6C9B0A}">
      <formula1>"FALSE,TRUE"</formula1>
    </dataValidation>
    <dataValidation type="list" allowBlank="1" showInputMessage="1" showErrorMessage="1" sqref="B16" xr:uid="{60618E7B-10C9-49B4-820E-2FD0AD43D3A2}">
      <formula1>"No,1X,2X,3X"</formula1>
    </dataValidation>
    <dataValidation type="whole" allowBlank="1" showInputMessage="1" showErrorMessage="1" error="Must be whole number between -6 and +12" sqref="B14" xr:uid="{40328714-760B-4C88-B1F2-BB7CEF87ABAC}">
      <formula1>-6</formula1>
      <formula2>12</formula2>
    </dataValidation>
    <dataValidation type="whole" allowBlank="1" showInputMessage="1" showErrorMessage="1" sqref="C11:D11" xr:uid="{EA987C36-43D0-4D46-9C16-9E8ED3CB749F}">
      <formula1>0</formula1>
      <formula2>D4/2</formula2>
    </dataValidation>
    <dataValidation type="whole" allowBlank="1" showInputMessage="1" showErrorMessage="1" sqref="C13:D13" xr:uid="{25606F2F-E68F-4B01-98F3-3253AEB9ED07}">
      <formula1>0</formula1>
      <formula2>D5/2</formula2>
    </dataValidation>
    <dataValidation type="whole" allowBlank="1" showInputMessage="1" showErrorMessage="1" sqref="C14:D14" xr:uid="{48A8A83D-BD53-4EBE-8F5B-3E2C9BAAC0FE}">
      <formula1>0</formula1>
      <formula2>D15/2</formula2>
    </dataValidation>
    <dataValidation type="whole" allowBlank="1" showInputMessage="1" showErrorMessage="1" sqref="E13:E14" xr:uid="{8586BDEE-6A40-4B6D-A101-95EC9CFB6C52}">
      <formula1>0</formula1>
      <formula2>#REF!/2</formula2>
    </dataValidation>
    <dataValidation type="whole" allowBlank="1" showInputMessage="1" showErrorMessage="1" error="Max STR = Lesser of Size + TL or SIZE X 4" sqref="G19:G28" xr:uid="{81CB72A4-E61D-4CCD-83D2-B43BF4393D7F}">
      <formula1>0</formula1>
      <formula2>F19-C19</formula2>
    </dataValidation>
    <dataValidation type="whole" allowBlank="1" showInputMessage="1" showErrorMessage="1" error="Max DEX = TL+3" sqref="K19:K28" xr:uid="{7ACDBF1E-1170-4429-84C2-9F3953A8F636}">
      <formula1>0</formula1>
      <formula2>J19-D19</formula2>
    </dataValidation>
    <dataValidation type="whole" allowBlank="1" showInputMessage="1" showErrorMessage="1" error="Total Armour cannot exceed Maximum" sqref="B7" xr:uid="{BC32D17F-B0E5-4D1F-B8D7-893998F13433}">
      <formula1>-1</formula1>
      <formula2>L7-MID(A7,18,1)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0238AC9-4E88-4D12-B07C-FDAC9167D3D9}">
          <x14:formula1>
            <xm:f>Brains!$B$3:$B$19</xm:f>
          </x14:formula1>
          <xm:sqref>B64</xm:sqref>
        </x14:dataValidation>
        <x14:dataValidation type="list" allowBlank="1" showInputMessage="1" showErrorMessage="1" xr:uid="{453C7561-84F6-4E72-9FF1-C3D6975268B9}">
          <x14:formula1>
            <xm:f>Brains!$K$3:$K$16</xm:f>
          </x14:formula1>
          <xm:sqref>B65</xm:sqref>
        </x14:dataValidation>
        <x14:dataValidation type="list" allowBlank="1" showInputMessage="1" showErrorMessage="1" xr:uid="{DE5DDE87-2E59-4226-9A15-504A29BD29A3}">
          <x14:formula1>
            <xm:f>Packages!$B$29:$B$68</xm:f>
          </x14:formula1>
          <xm:sqref>A73:A90</xm:sqref>
        </x14:dataValidation>
        <x14:dataValidation type="list" allowBlank="1" showInputMessage="1" showErrorMessage="1" xr:uid="{88F885EC-EE35-4337-851C-F84168ED2906}">
          <x14:formula1>
            <xm:f>Options!$C$9:$C$251</xm:f>
          </x14:formula1>
          <xm:sqref>A36:A56</xm:sqref>
        </x14:dataValidation>
        <x14:dataValidation type="list" allowBlank="1" showInputMessage="1" showErrorMessage="1" xr:uid="{23ED5FBE-77DC-4658-BF1E-0E8BB02DDC36}">
          <x14:formula1>
            <xm:f>Options!$C$9:$C$71</xm:f>
          </x14:formula1>
          <xm:sqref>A30:A34</xm:sqref>
        </x14:dataValidation>
        <x14:dataValidation type="list" allowBlank="1" showInputMessage="1" showErrorMessage="1" xr:uid="{9939995A-CB5E-4956-9905-BD71300FD98A}">
          <x14:formula1>
            <xm:f>Chassis!$H$3:$H$13</xm:f>
          </x14:formula1>
          <xm:sqref>B17 B5</xm:sqref>
        </x14:dataValidation>
        <x14:dataValidation type="list" allowBlank="1" showInputMessage="1" showErrorMessage="1" xr:uid="{213432A9-CAD9-4015-A645-A0CD678048BA}">
          <x14:formula1>
            <xm:f>Packages!$B$11:$B$19</xm:f>
          </x14:formula1>
          <xm:sqref>B70</xm:sqref>
        </x14:dataValidation>
        <x14:dataValidation type="list" allowBlank="1" showInputMessage="1" showErrorMessage="1" xr:uid="{0C96A254-186A-4B4D-8278-2133A0045DEC}">
          <x14:formula1>
            <xm:f>Packages!$B$3:$B$7</xm:f>
          </x14:formula1>
          <xm:sqref>B69</xm:sqref>
        </x14:dataValidation>
        <x14:dataValidation type="list" allowBlank="1" showInputMessage="1" showErrorMessage="1" xr:uid="{0F4A875F-F272-4CB4-9239-F6C870812FD7}">
          <x14:formula1>
            <xm:f>Packages!$B$23:$B$25</xm:f>
          </x14:formula1>
          <xm:sqref>B71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80088-B946-45A5-BB9D-1FF2E2B806FD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 t="s">
        <v>806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28800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4</v>
      </c>
      <c r="E4" s="114">
        <f>_xlfn.XLOOKUP(B4,Size[Size],Size[Base Slots],,,)</f>
        <v>8</v>
      </c>
      <c r="F4" s="37">
        <f>B4+O2</f>
        <v>16</v>
      </c>
      <c r="G4" s="168" t="s">
        <v>299</v>
      </c>
      <c r="H4" s="168"/>
      <c r="I4" s="169"/>
      <c r="J4" s="108">
        <f>_xlfn.XLOOKUP(B4,Size[Size],Size[Base hits],,,)</f>
        <v>12</v>
      </c>
      <c r="K4" s="170" t="s">
        <v>727</v>
      </c>
      <c r="L4" s="171"/>
      <c r="M4" s="52">
        <f>_xlfn.XLOOKUP(B4,Size[Size],Size[Basic Cost],,,)</f>
        <v>800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(-1), </v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8000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Basic Gunner Droid</v>
      </c>
      <c r="S6" s="143">
        <f>M11</f>
        <v>12</v>
      </c>
      <c r="T6" s="143" t="str">
        <f>B5</f>
        <v>Walker</v>
      </c>
      <c r="U6" s="143" t="str">
        <f>_xlfn.CONCAT(J14," m")</f>
        <v>5 m</v>
      </c>
      <c r="V6" s="144">
        <f>O2</f>
        <v>12</v>
      </c>
      <c r="W6" s="147">
        <f>P91</f>
        <v>32000</v>
      </c>
      <c r="X6" s="151">
        <f>IF(I2="Standard Design",0.1,0)</f>
        <v>0.1</v>
      </c>
      <c r="Y6" s="152">
        <v>2</v>
      </c>
      <c r="Z6" s="147">
        <f>FLOOR(P91*(1-X6),100)</f>
        <v>28800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40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Gunner (turret) 2, Tactics (naval) 1,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108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-1</v>
      </c>
      <c r="F9" s="37"/>
      <c r="G9" s="179" t="s">
        <v>302</v>
      </c>
      <c r="H9" s="179"/>
      <c r="I9" s="180"/>
      <c r="J9" s="51">
        <f>J8*(1+B9)</f>
        <v>216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500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9)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12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216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Small (-1), (idle),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Advanced (INT 8)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216 hours</v>
      </c>
      <c r="L14" s="5"/>
      <c r="M14" s="5"/>
      <c r="N14" s="5"/>
      <c r="P14" s="136">
        <f>B14*0.1*P5</f>
        <v>0</v>
      </c>
      <c r="R14" s="245" t="s">
        <v>475</v>
      </c>
      <c r="S14" s="233" t="str">
        <f>_xlfn.CONCAT(A30,", ",A31,", ",A32,", ",A33,", ",A34,", ",A36,", ",A37,", ",A38,", ",A39,", ",A40,", ",A41,", ",A42,", ",A43,", ",A44,", ",A45,", ",A46,", ",A47,", ",A48,", ",A49,", ",A50,", ",A51,", ",A52,", ",A53,", ",A54,", ",A55,", ",A56)</f>
        <v>Auditory Sensor, Transceiver 5 km (basic), Visual Spectrum Sensor, Voder Speaker, Wireless Data Link, Drone Interface, Quick Charger, Vacuum Environment Protection, , , , , , , , , , , , , , , , , , (spare slot)</v>
      </c>
      <c r="T14" s="233"/>
      <c r="U14" s="233"/>
      <c r="V14" s="233"/>
      <c r="W14" s="233"/>
      <c r="X14" s="233"/>
      <c r="Y14" s="233"/>
      <c r="Z14" s="233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46"/>
      <c r="S15" s="247"/>
      <c r="T15" s="247"/>
      <c r="U15" s="247"/>
      <c r="V15" s="247"/>
      <c r="W15" s="247"/>
      <c r="X15" s="247"/>
      <c r="Y15" s="247"/>
      <c r="Z15" s="247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46"/>
      <c r="S16" s="247"/>
      <c r="T16" s="247"/>
      <c r="U16" s="247"/>
      <c r="V16" s="247"/>
      <c r="W16" s="247"/>
      <c r="X16" s="247"/>
      <c r="Y16" s="247"/>
      <c r="Z16" s="247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46"/>
      <c r="S17" s="247"/>
      <c r="T17" s="247"/>
      <c r="U17" s="247"/>
      <c r="V17" s="247"/>
      <c r="W17" s="247"/>
      <c r="X17" s="247"/>
      <c r="Y17" s="247"/>
      <c r="Z17" s="247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46"/>
      <c r="S18" s="247"/>
      <c r="T18" s="247"/>
      <c r="U18" s="247"/>
      <c r="V18" s="247"/>
      <c r="W18" s="247"/>
      <c r="X18" s="247"/>
      <c r="Y18" s="247"/>
      <c r="Z18" s="247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7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15</v>
      </c>
      <c r="K19" s="16">
        <v>2</v>
      </c>
      <c r="L19" s="60">
        <f t="shared" ref="L19:L28" si="5">D19+K19</f>
        <v>9</v>
      </c>
      <c r="M19" s="61">
        <f>IF(L19&gt;20,5,IF(L19&gt;17,4,IF(L19&gt;14,3,IF(L19&gt;11,2,IF(L19&gt;8,1,IF(L19&gt;5,0,IF(L19&gt;2,-1,-2)))))))</f>
        <v>1</v>
      </c>
      <c r="O19" s="12" t="str">
        <f t="shared" ref="O19:O28" si="6">IF(I19&gt;0,_xlfn.CONCAT("Athletics (strength) ",I19,", "),"")</f>
        <v/>
      </c>
      <c r="P19" s="136">
        <f>IF((B19-$B$4)*100&gt;-0.2*$P$5,(B19-$B$4)*100,-0.2*$P$5)+B19*100*(G19)^2+B19*200*(K19)^2</f>
        <v>3200</v>
      </c>
      <c r="R19" s="246"/>
      <c r="S19" s="247"/>
      <c r="T19" s="247"/>
      <c r="U19" s="247"/>
      <c r="V19" s="247"/>
      <c r="W19" s="247"/>
      <c r="X19" s="247"/>
      <c r="Y19" s="247"/>
      <c r="Z19" s="247"/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7">IF(B20=0,0,ROUNDUP($O$2/2+1,0))</f>
        <v>7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15</v>
      </c>
      <c r="K20" s="16">
        <v>2</v>
      </c>
      <c r="L20" s="6">
        <f t="shared" si="5"/>
        <v>9</v>
      </c>
      <c r="M20" s="61">
        <f t="shared" ref="M20:M28" si="8">IF(L20&gt;20,5,IF(L20&gt;17,4,IF(L20&gt;14,3,IF(L20&gt;11,2,IF(L20&gt;8,1,IF(L20&gt;5,0,IF(L20&gt;2,-1,-2)))))))</f>
        <v>1</v>
      </c>
      <c r="O20" s="5" t="str">
        <f t="shared" si="6"/>
        <v/>
      </c>
      <c r="P20" s="136">
        <f>IF((B20-$B$4)*100&gt;-0.2*$P$5,(B20-$B$4)*100,-0.2*$P$5)+B20*100*(G20)^2+B20*200*(K20)^2</f>
        <v>3200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7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15</v>
      </c>
      <c r="K21" s="16"/>
      <c r="L21" s="6">
        <f t="shared" si="5"/>
        <v>0</v>
      </c>
      <c r="M21" s="61">
        <f t="shared" si="8"/>
        <v>-2</v>
      </c>
      <c r="O21" s="5" t="str">
        <f t="shared" si="6"/>
        <v/>
      </c>
      <c r="P21" s="136">
        <f t="shared" ref="P21:P26" si="9">(B21)*100+B21*100*(G21)^2+B21*200*(K21)^2</f>
        <v>0</v>
      </c>
      <c r="R21" s="7" t="s">
        <v>798</v>
      </c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7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15</v>
      </c>
      <c r="K22" s="16"/>
      <c r="L22" s="6">
        <f t="shared" si="5"/>
        <v>0</v>
      </c>
      <c r="M22" s="61">
        <f t="shared" si="8"/>
        <v>-2</v>
      </c>
      <c r="O22" s="5" t="str">
        <f t="shared" si="6"/>
        <v/>
      </c>
      <c r="P22" s="136">
        <f t="shared" si="9"/>
        <v>0</v>
      </c>
      <c r="R22" s="200"/>
      <c r="S22" s="201"/>
      <c r="T22" s="201"/>
      <c r="U22" s="201"/>
      <c r="V22" s="201"/>
      <c r="W22" s="201"/>
      <c r="X22" s="201"/>
      <c r="Y22" s="201"/>
      <c r="Z22" s="202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7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15</v>
      </c>
      <c r="K23" s="16"/>
      <c r="L23" s="6">
        <f t="shared" si="5"/>
        <v>0</v>
      </c>
      <c r="M23" s="61">
        <f t="shared" si="8"/>
        <v>-2</v>
      </c>
      <c r="O23" s="5" t="str">
        <f t="shared" si="6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7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15</v>
      </c>
      <c r="K24" s="16"/>
      <c r="L24" s="6">
        <f t="shared" si="5"/>
        <v>0</v>
      </c>
      <c r="M24" s="61">
        <f t="shared" si="8"/>
        <v>-2</v>
      </c>
      <c r="O24" s="5" t="str">
        <f t="shared" si="6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7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15</v>
      </c>
      <c r="K25" s="16"/>
      <c r="L25" s="6">
        <f t="shared" si="5"/>
        <v>0</v>
      </c>
      <c r="M25" s="61">
        <f t="shared" si="8"/>
        <v>-2</v>
      </c>
      <c r="O25" s="5" t="str">
        <f t="shared" si="6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7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15</v>
      </c>
      <c r="K26" s="80"/>
      <c r="L26" s="81">
        <f t="shared" si="5"/>
        <v>0</v>
      </c>
      <c r="M26" s="157">
        <f t="shared" si="8"/>
        <v>-2</v>
      </c>
      <c r="O26" s="5" t="str">
        <f t="shared" si="6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15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88" t="str">
        <f t="shared" si="6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15</v>
      </c>
      <c r="K28" s="19"/>
      <c r="L28" s="20">
        <f t="shared" si="5"/>
        <v>0</v>
      </c>
      <c r="M28" s="61">
        <f t="shared" si="8"/>
        <v>-2</v>
      </c>
      <c r="N28" s="24"/>
      <c r="O28" s="5" t="str">
        <f t="shared" si="6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463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7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641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1 hour recharge</v>
      </c>
      <c r="I37" s="194"/>
      <c r="J37" s="194"/>
      <c r="K37" s="43">
        <f>_xlfn.XLOOKUP(A37,OptionsTable[Name],OptionsTable[TL],,,)</f>
        <v>8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200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100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0</v>
      </c>
      <c r="F38" s="37">
        <f>IF(_xlfn.XLOOKUP(A38,OptionsTable[Name],OptionsTable[xS],,,)=FALSE,1,IF($B$4&gt;0,$E$4,1))</f>
        <v>8</v>
      </c>
      <c r="G38" s="57"/>
      <c r="H38" s="193" t="str">
        <f>IF(_xlfn.XLOOKUP(A38,OptionsTable[Name],OptionsTable[Notes],,,)="","",_xlfn.XLOOKUP(A38,OptionsTable[Name],OptionsTable[Notes],,,))</f>
        <v>+ Hostile env</v>
      </c>
      <c r="I38" s="194"/>
      <c r="J38" s="194"/>
      <c r="K38" s="43">
        <f>_xlfn.XLOOKUP(A38,OptionsTable[Name],OptionsTable[TL],,,)</f>
        <v>6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4800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/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1</v>
      </c>
      <c r="G39" s="57"/>
      <c r="H39" s="193" t="str">
        <f>IF(_xlfn.XLOOKUP(A39,OptionsTable[Name],OptionsTable[Notes],,,)="","",_xlfn.XLOOKUP(A39,OptionsTable[Name],OptionsTable[Notes],,,))</f>
        <v/>
      </c>
      <c r="I39" s="194"/>
      <c r="J39" s="194"/>
      <c r="K39" s="43">
        <f>_xlfn.XLOOKUP(A39,OptionsTable[Name],OptionsTable[TL],,,)</f>
        <v>0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/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0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0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 t="s">
        <v>554</v>
      </c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-6</v>
      </c>
      <c r="F56" s="37">
        <f>IF(_xlfn.XLOOKUP(A56,OptionsTable[Name],OptionsTable[xS],,,)=FALSE,1,IF($B$4&gt;0,$E$4,1))</f>
        <v>1</v>
      </c>
      <c r="G56" s="105">
        <v>6</v>
      </c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80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8</v>
      </c>
      <c r="I64" s="31">
        <f>IF(H64&gt;17,4,IF(H64&gt;14,3,IF(H64&gt;11,2,IF(H64&gt;8,1,IF(H64&gt;5,0,IF(H64&gt;2,-1,-2))))))</f>
        <v>0</v>
      </c>
      <c r="J64" s="1">
        <f>_xlfn.XLOOKUP(B64,Brains[Programming/Control],Brains[Computer/X],,,)</f>
        <v>2</v>
      </c>
      <c r="K64" s="43">
        <f>_xlfn.XLOOKUP(B64,Brains[Programming/Control],Brains[TL],,,)</f>
        <v>12</v>
      </c>
      <c r="L64">
        <f>_xlfn.XLOOKUP(B64,Brains[Programming/Control],Brains[Computer/X],,,)</f>
        <v>2</v>
      </c>
      <c r="M64" s="12" t="str">
        <f>_xlfn.XLOOKUP(B64,Brains[Programming/Control],Brains[Base capability (built-in no bandwidth, cumulative)],,,)</f>
        <v>Intelligent Interface, Expert/1, Security/1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26</v>
      </c>
      <c r="C65" s="192"/>
      <c r="D65" s="192"/>
      <c r="E65" s="39">
        <f>-_xlfn.XLOOKUP(B65,Bandwidth[Minimum Base Brain],Bandwidth[Slots],,,)</f>
        <v>0</v>
      </c>
      <c r="F65" s="37"/>
      <c r="K65" s="43">
        <f>_xlfn.XLOOKUP(B65,Bandwidth[Minimum Base Brain],Bandwidth[TL],,,)</f>
        <v>0</v>
      </c>
      <c r="L65">
        <f>_xlfn.XLOOKUP(B65,Bandwidth[Minimum Base Brain],Bandwidth[Bandwidth],,,)+L64</f>
        <v>2</v>
      </c>
      <c r="M65" t="s">
        <v>310</v>
      </c>
      <c r="P65" s="136">
        <f>_xlfn.XLOOKUP(B65,Bandwidth[Minimum Base Brain],Bandwidth[Cost],,,)</f>
        <v>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8</v>
      </c>
      <c r="I66" s="15">
        <f>IF(H66&gt;17,4,IF(H66&gt;14,3,IF(H66&gt;11,2,IF(H66&gt;8,1,IF(H66&gt;5,0,IF(H66&gt;2,-1,-2))))))</f>
        <v>0</v>
      </c>
      <c r="K66" s="43"/>
      <c r="L66" s="55">
        <f>L65+F66</f>
        <v>2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2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30" t="s">
        <v>145</v>
      </c>
      <c r="B73" s="193" t="s">
        <v>793</v>
      </c>
      <c r="C73" s="227"/>
      <c r="D73" s="57">
        <v>1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1</v>
      </c>
      <c r="I73" s="58" t="str">
        <f>_xlfn.XLOOKUP(A73,StandardBrain[Name],StandardBrain[Characteristic],,,)</f>
        <v>DEX</v>
      </c>
      <c r="K73" s="43">
        <f>_xlfn.XLOOKUP(A73,StandardBrain[Name],StandardBrain[TL],,,)+D73</f>
        <v>9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Gunner (turret) 2,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1000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150</v>
      </c>
      <c r="B74" s="193" t="s">
        <v>795</v>
      </c>
      <c r="C74" s="227"/>
      <c r="D74" s="57">
        <v>1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1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9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Tactics (naval) 1,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1000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117</v>
      </c>
      <c r="B75" s="193"/>
      <c r="C75" s="227"/>
      <c r="D75" s="57"/>
      <c r="E75" s="39"/>
      <c r="G75" s="59" t="str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/>
      </c>
      <c r="I75" s="58" t="str">
        <f>_xlfn.XLOOKUP(A75,StandardBrain[Name],StandardBrain[Characteristic],,,)</f>
        <v xml:space="preserve"> </v>
      </c>
      <c r="K75" s="43">
        <f>_xlfn.XLOOKUP(A75,StandardBrain[Name],StandardBrain[TL],,,)+D75</f>
        <v>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/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0</v>
      </c>
      <c r="R76" s="203"/>
      <c r="S76" s="204"/>
      <c r="T76" s="204"/>
      <c r="U76" s="204"/>
      <c r="V76" s="204"/>
      <c r="W76" s="204"/>
      <c r="X76" s="204"/>
      <c r="Y76" s="204"/>
      <c r="Z76" s="205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  <c r="R77" s="206"/>
      <c r="S77" s="207"/>
      <c r="T77" s="207"/>
      <c r="U77" s="207"/>
      <c r="V77" s="207"/>
      <c r="W77" s="207"/>
      <c r="X77" s="207"/>
      <c r="Y77" s="207"/>
      <c r="Z77" s="208"/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32000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28800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38">
    <sortCondition ref="A36:A38"/>
  </sortState>
  <dataConsolidate/>
  <mergeCells count="114"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4:D64"/>
    <mergeCell ref="B65:D65"/>
    <mergeCell ref="B69:D69"/>
    <mergeCell ref="B70:D70"/>
    <mergeCell ref="B71:D71"/>
    <mergeCell ref="B73:C73"/>
    <mergeCell ref="A59:D59"/>
    <mergeCell ref="H59:I59"/>
    <mergeCell ref="A60:D60"/>
    <mergeCell ref="H60:I60"/>
    <mergeCell ref="A61:D61"/>
    <mergeCell ref="H61:I61"/>
    <mergeCell ref="A55:D55"/>
    <mergeCell ref="H55:J55"/>
    <mergeCell ref="A56:D56"/>
    <mergeCell ref="H56:J56"/>
    <mergeCell ref="A57:D57"/>
    <mergeCell ref="H57:J57"/>
    <mergeCell ref="A52:D52"/>
    <mergeCell ref="H52:J52"/>
    <mergeCell ref="A53:D53"/>
    <mergeCell ref="H53:J53"/>
    <mergeCell ref="A54:D54"/>
    <mergeCell ref="H54:J54"/>
    <mergeCell ref="A49:D49"/>
    <mergeCell ref="H49:J49"/>
    <mergeCell ref="A50:D50"/>
    <mergeCell ref="H50:J50"/>
    <mergeCell ref="A51:D51"/>
    <mergeCell ref="H51:J51"/>
    <mergeCell ref="A38:D38"/>
    <mergeCell ref="H38:J38"/>
    <mergeCell ref="A39:D39"/>
    <mergeCell ref="H39:J39"/>
    <mergeCell ref="A46:D46"/>
    <mergeCell ref="H46:J46"/>
    <mergeCell ref="A47:D47"/>
    <mergeCell ref="H47:J47"/>
    <mergeCell ref="A48:D48"/>
    <mergeCell ref="H48:J48"/>
    <mergeCell ref="A43:D43"/>
    <mergeCell ref="H43:J43"/>
    <mergeCell ref="A44:D44"/>
    <mergeCell ref="H44:J44"/>
    <mergeCell ref="A45:D45"/>
    <mergeCell ref="H45:J45"/>
    <mergeCell ref="H33:J33"/>
    <mergeCell ref="A34:D34"/>
    <mergeCell ref="H34:J34"/>
    <mergeCell ref="H35:J35"/>
    <mergeCell ref="A36:D36"/>
    <mergeCell ref="H36:J36"/>
    <mergeCell ref="R22:Z77"/>
    <mergeCell ref="B29:D29"/>
    <mergeCell ref="H29:J29"/>
    <mergeCell ref="A30:D30"/>
    <mergeCell ref="H30:J30"/>
    <mergeCell ref="A31:D31"/>
    <mergeCell ref="H31:J31"/>
    <mergeCell ref="A32:D32"/>
    <mergeCell ref="H32:J32"/>
    <mergeCell ref="A33:D33"/>
    <mergeCell ref="A40:D40"/>
    <mergeCell ref="H40:J40"/>
    <mergeCell ref="A41:D41"/>
    <mergeCell ref="H41:J41"/>
    <mergeCell ref="A42:D42"/>
    <mergeCell ref="H42:J42"/>
    <mergeCell ref="A37:D37"/>
    <mergeCell ref="H37:J37"/>
    <mergeCell ref="S13:Z13"/>
    <mergeCell ref="R14:R19"/>
    <mergeCell ref="S14:Z19"/>
    <mergeCell ref="G10:H10"/>
    <mergeCell ref="K10:M10"/>
    <mergeCell ref="S9:Z9"/>
    <mergeCell ref="G11:H11"/>
    <mergeCell ref="K11:L11"/>
    <mergeCell ref="S10:Z10"/>
    <mergeCell ref="G8:I8"/>
    <mergeCell ref="K8:M8"/>
    <mergeCell ref="G9:I9"/>
    <mergeCell ref="K9:M9"/>
    <mergeCell ref="G12:O12"/>
    <mergeCell ref="S11:Z11"/>
    <mergeCell ref="S12:Z12"/>
    <mergeCell ref="R7:R8"/>
    <mergeCell ref="S7:Z8"/>
    <mergeCell ref="B2:D2"/>
    <mergeCell ref="F2:H2"/>
    <mergeCell ref="I2:M2"/>
    <mergeCell ref="G3:J3"/>
    <mergeCell ref="G4:I4"/>
    <mergeCell ref="K4:L4"/>
    <mergeCell ref="G5:I5"/>
    <mergeCell ref="H6:N6"/>
    <mergeCell ref="G7:I7"/>
  </mergeCells>
  <conditionalFormatting sqref="B14">
    <cfRule type="expression" dxfId="131" priority="6">
      <formula>ABS($J$14-6) &gt; 6</formula>
    </cfRule>
  </conditionalFormatting>
  <conditionalFormatting sqref="E2">
    <cfRule type="expression" dxfId="130" priority="4">
      <formula>$E$2&lt;0</formula>
    </cfRule>
  </conditionalFormatting>
  <conditionalFormatting sqref="E15:E17">
    <cfRule type="expression" dxfId="129" priority="1">
      <formula>AND($B$4=0,E15&lt;0)</formula>
    </cfRule>
  </conditionalFormatting>
  <conditionalFormatting sqref="K5 K30:K34 K36:K57 K59:K61 K64:K67 K73:K90">
    <cfRule type="expression" dxfId="128" priority="5">
      <formula>K5&gt;$O$2</formula>
    </cfRule>
  </conditionalFormatting>
  <conditionalFormatting sqref="L57">
    <cfRule type="expression" dxfId="127" priority="2">
      <formula>L57&gt;$O$2</formula>
    </cfRule>
  </conditionalFormatting>
  <conditionalFormatting sqref="L67">
    <cfRule type="expression" dxfId="126" priority="3">
      <formula>L67&lt;0</formula>
    </cfRule>
  </conditionalFormatting>
  <dataValidations count="20">
    <dataValidation type="whole" allowBlank="1" showInputMessage="1" showErrorMessage="1" error="Total Armour cannot exceed Maximum" sqref="B7" xr:uid="{3FD5E303-ECC4-4601-8AFA-4278B6F21963}">
      <formula1>-1</formula1>
      <formula2>L7-MID(A7,18,1)</formula2>
    </dataValidation>
    <dataValidation type="whole" allowBlank="1" showInputMessage="1" showErrorMessage="1" error="Max DEX = TL+3" sqref="K19:K28" xr:uid="{1A42408A-3085-4568-9438-849B26FE6E67}">
      <formula1>0</formula1>
      <formula2>J19-D19</formula2>
    </dataValidation>
    <dataValidation type="whole" allowBlank="1" showInputMessage="1" showErrorMessage="1" error="Max STR = Lesser of Size + TL or SIZE X 4" sqref="G19:G28" xr:uid="{DDDB9F47-89C7-43A1-A462-18DB3BAE6B10}">
      <formula1>0</formula1>
      <formula2>F19-C19</formula2>
    </dataValidation>
    <dataValidation type="whole" allowBlank="1" showInputMessage="1" showErrorMessage="1" sqref="E13:E14" xr:uid="{2C995B69-5811-4C6C-9E25-8FF151E0D3EF}">
      <formula1>0</formula1>
      <formula2>#REF!/2</formula2>
    </dataValidation>
    <dataValidation type="whole" allowBlank="1" showInputMessage="1" showErrorMessage="1" sqref="C14:D14" xr:uid="{947CE806-1942-47F8-AC5E-452B38B30B89}">
      <formula1>0</formula1>
      <formula2>D15/2</formula2>
    </dataValidation>
    <dataValidation type="whole" allowBlank="1" showInputMessage="1" showErrorMessage="1" sqref="C13:D13" xr:uid="{E21C0EC3-AA53-43B0-9A32-A3AA95D0C0A8}">
      <formula1>0</formula1>
      <formula2>D5/2</formula2>
    </dataValidation>
    <dataValidation type="whole" allowBlank="1" showInputMessage="1" showErrorMessage="1" sqref="C11:D11" xr:uid="{B9B1B296-020F-458E-B521-6D97C29949F3}">
      <formula1>0</formula1>
      <formula2>D4/2</formula2>
    </dataValidation>
    <dataValidation type="whole" allowBlank="1" showInputMessage="1" showErrorMessage="1" error="Must be whole number between -6 and +12" sqref="B14" xr:uid="{70BB1501-9E38-4776-82D1-4211A131959F}">
      <formula1>-6</formula1>
      <formula2>12</formula2>
    </dataValidation>
    <dataValidation type="list" allowBlank="1" showInputMessage="1" showErrorMessage="1" sqref="B16" xr:uid="{A4E74B78-A546-43FF-BF2C-60A1EF212F09}">
      <formula1>"No,1X,2X,3X"</formula1>
    </dataValidation>
    <dataValidation type="list" allowBlank="1" showInputMessage="1" showErrorMessage="1" sqref="B15" xr:uid="{D8EFA1A5-6B04-46EC-BC81-B265553E3E9C}">
      <formula1>"FALSE,TRUE"</formula1>
    </dataValidation>
    <dataValidation type="list" allowBlank="1" showInputMessage="1" showErrorMessage="1" sqref="D73:D90 B66" xr:uid="{21ED82DB-0DF4-443E-B361-AB9FF3A3C1B9}">
      <formula1>"0,1,2,3"</formula1>
    </dataValidation>
    <dataValidation type="list" allowBlank="1" showInputMessage="1" showErrorMessage="1" sqref="B13" xr:uid="{D7605814-87C0-4382-84CC-29222EDF1C0F}">
      <formula1>"0,1,2,3,4"</formula1>
    </dataValidation>
    <dataValidation type="list" allowBlank="1" showInputMessage="1" showErrorMessage="1" sqref="B27:B28 B67 B8" xr:uid="{51CEE609-BB3C-4F52-8976-B436F1EF571A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3E1CF305-AC69-4FA0-9BBE-E71CD12CD797}">
      <formula1>0</formula1>
      <formula2>$B$4+2</formula2>
    </dataValidation>
    <dataValidation type="list" allowBlank="1" showInputMessage="1" showErrorMessage="1" sqref="O2" xr:uid="{097FE679-AFFA-4EEB-B282-CDB67C0CD4ED}">
      <formula1>"7,8,9,10,11,12,13,14,15,16,17,18"</formula1>
    </dataValidation>
    <dataValidation type="list" allowBlank="1" showInputMessage="1" showErrorMessage="1" sqref="B4" xr:uid="{9B6501D5-5861-43AE-8A94-AA3A91073FCC}">
      <formula1>"0,1,2,3,4,5,6,7,8"</formula1>
    </dataValidation>
    <dataValidation type="list" allowBlank="1" showInputMessage="1" showErrorMessage="1" error="Maximum = 3" sqref="B9" xr:uid="{8CC35426-7DF7-4DA6-9EAD-2A52995F3124}">
      <formula1>"0,1,2,3"</formula1>
    </dataValidation>
    <dataValidation type="whole" allowBlank="1" showInputMessage="1" showErrorMessage="1" sqref="E11" xr:uid="{07968C0C-74BD-4C9E-B975-775D0AC76D47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01A77AA8-BB79-445C-8BFA-F8D79418EBB1}">
      <formula1>0</formula1>
      <formula2>E4/2</formula2>
    </dataValidation>
    <dataValidation type="whole" allowBlank="1" showInputMessage="1" showErrorMessage="1" error="Must be a negative number no less than a 50% of the base hits" sqref="B11" xr:uid="{0A2F291A-0D4E-4BDD-99D0-B798EA86EE5A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64F40657-C474-4874-8821-58125B3A9226}">
          <x14:formula1>
            <xm:f>Packages!$B$23:$B$25</xm:f>
          </x14:formula1>
          <xm:sqref>B71</xm:sqref>
        </x14:dataValidation>
        <x14:dataValidation type="list" allowBlank="1" showInputMessage="1" showErrorMessage="1" xr:uid="{B40D6CD0-E910-4FB4-A40C-7B8A59302C28}">
          <x14:formula1>
            <xm:f>Packages!$B$3:$B$7</xm:f>
          </x14:formula1>
          <xm:sqref>B69</xm:sqref>
        </x14:dataValidation>
        <x14:dataValidation type="list" allowBlank="1" showInputMessage="1" showErrorMessage="1" xr:uid="{03EF7470-16DD-4F32-837A-D03D74CFB426}">
          <x14:formula1>
            <xm:f>Packages!$B$11:$B$19</xm:f>
          </x14:formula1>
          <xm:sqref>B70</xm:sqref>
        </x14:dataValidation>
        <x14:dataValidation type="list" allowBlank="1" showInputMessage="1" showErrorMessage="1" xr:uid="{C289C40B-43CE-45B8-86DA-FE0A2210F60F}">
          <x14:formula1>
            <xm:f>Chassis!$H$3:$H$13</xm:f>
          </x14:formula1>
          <xm:sqref>B17 B5</xm:sqref>
        </x14:dataValidation>
        <x14:dataValidation type="list" allowBlank="1" showInputMessage="1" showErrorMessage="1" xr:uid="{651C601F-AEED-4D50-BDA1-9235E0DFCFBB}">
          <x14:formula1>
            <xm:f>Options!$C$9:$C$71</xm:f>
          </x14:formula1>
          <xm:sqref>A30:A34</xm:sqref>
        </x14:dataValidation>
        <x14:dataValidation type="list" allowBlank="1" showInputMessage="1" showErrorMessage="1" xr:uid="{E8A7333D-A51B-45B9-A324-34059FBDB89C}">
          <x14:formula1>
            <xm:f>Options!$C$9:$C$251</xm:f>
          </x14:formula1>
          <xm:sqref>A36:A56</xm:sqref>
        </x14:dataValidation>
        <x14:dataValidation type="list" allowBlank="1" showInputMessage="1" showErrorMessage="1" xr:uid="{CF0E3554-0CFF-4392-ABC0-D6A27F07718B}">
          <x14:formula1>
            <xm:f>Packages!$B$29:$B$68</xm:f>
          </x14:formula1>
          <xm:sqref>A73:A90</xm:sqref>
        </x14:dataValidation>
        <x14:dataValidation type="list" allowBlank="1" showInputMessage="1" showErrorMessage="1" xr:uid="{6868A98A-D7A0-46FD-9290-7C34254312E3}">
          <x14:formula1>
            <xm:f>Brains!$K$3:$K$16</xm:f>
          </x14:formula1>
          <xm:sqref>B65</xm:sqref>
        </x14:dataValidation>
        <x14:dataValidation type="list" allowBlank="1" showInputMessage="1" showErrorMessage="1" xr:uid="{6017191E-5853-4EE8-9E38-3DCDBEAB235A}">
          <x14:formula1>
            <xm:f>Brains!$B$3:$B$19</xm:f>
          </x14:formula1>
          <xm:sqref>B64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EECA3-28DB-42F9-8B80-360542ED9B62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 t="s">
        <v>834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79700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4</v>
      </c>
      <c r="E4" s="114">
        <f>_xlfn.XLOOKUP(B4,Size[Size],Size[Base Slots],,,)</f>
        <v>8</v>
      </c>
      <c r="F4" s="37">
        <f>B4+O2</f>
        <v>16</v>
      </c>
      <c r="G4" s="168" t="s">
        <v>299</v>
      </c>
      <c r="H4" s="168"/>
      <c r="I4" s="169"/>
      <c r="J4" s="108">
        <f>_xlfn.XLOOKUP(B4,Size[Size],Size[Base hits],,,)</f>
        <v>12</v>
      </c>
      <c r="K4" s="170" t="s">
        <v>727</v>
      </c>
      <c r="L4" s="171"/>
      <c r="M4" s="52">
        <f>_xlfn.XLOOKUP(B4,Size[Size],Size[Basic Cost],,,)</f>
        <v>800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(-1), </v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8000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Improved Gunner Droid</v>
      </c>
      <c r="S6" s="143">
        <f>M11</f>
        <v>12</v>
      </c>
      <c r="T6" s="143" t="str">
        <f>B5</f>
        <v>Walker</v>
      </c>
      <c r="U6" s="143" t="str">
        <f>_xlfn.CONCAT(J14," m")</f>
        <v>5 m</v>
      </c>
      <c r="V6" s="144">
        <f>O2</f>
        <v>12</v>
      </c>
      <c r="W6" s="147">
        <f>P91</f>
        <v>88600</v>
      </c>
      <c r="X6" s="151">
        <f>IF(I2="Standard Design",0.1,0)</f>
        <v>0.1</v>
      </c>
      <c r="Y6" s="152">
        <v>2</v>
      </c>
      <c r="Z6" s="147">
        <f>FLOOR(P91*(1-X6),100)</f>
        <v>79700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40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Gunner (turret) 4, Tactics (naval) 2,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108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-1</v>
      </c>
      <c r="F9" s="37"/>
      <c r="G9" s="179" t="s">
        <v>302</v>
      </c>
      <c r="H9" s="179"/>
      <c r="I9" s="180"/>
      <c r="J9" s="51">
        <f>J8*(1+B9)</f>
        <v>216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500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12)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12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216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Small (-1), (idle),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Advanced (INT 8)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216 hours</v>
      </c>
      <c r="L14" s="5"/>
      <c r="M14" s="5"/>
      <c r="N14" s="5"/>
      <c r="P14" s="136">
        <f>B14*0.1*P5</f>
        <v>0</v>
      </c>
      <c r="R14" s="245" t="s">
        <v>475</v>
      </c>
      <c r="S14" s="233" t="str">
        <f>_xlfn.CONCAT(A30,", ",A31,", ",A32,", ",A33,", ",A34,", ",A36,", ",A37,", ",A38,", ",A39,", ",A40,", ",A41,", ",A42,", ",A43,", ",A44,", ",A45,", ",A46,", ",A47,", ",A48,", ",A49,", ",A50,", ",A51,", ",A52,", ",A53,", ",A54,", ",A55,", ",A56)</f>
        <v>Auditory Sensor, Transceiver 5 km (basic), Visual Spectrum Sensor, Voder Speaker, Wireless Data Link, Drone Interface, Quick Charger, Vacuum Environment Protection, , , , , , , , , , , , , , , , , , (spare slot)</v>
      </c>
      <c r="T14" s="233"/>
      <c r="U14" s="233"/>
      <c r="V14" s="233"/>
      <c r="W14" s="233"/>
      <c r="X14" s="233"/>
      <c r="Y14" s="233"/>
      <c r="Z14" s="233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46"/>
      <c r="S15" s="247"/>
      <c r="T15" s="247"/>
      <c r="U15" s="247"/>
      <c r="V15" s="247"/>
      <c r="W15" s="247"/>
      <c r="X15" s="247"/>
      <c r="Y15" s="247"/>
      <c r="Z15" s="247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46"/>
      <c r="S16" s="247"/>
      <c r="T16" s="247"/>
      <c r="U16" s="247"/>
      <c r="V16" s="247"/>
      <c r="W16" s="247"/>
      <c r="X16" s="247"/>
      <c r="Y16" s="247"/>
      <c r="Z16" s="247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46"/>
      <c r="S17" s="247"/>
      <c r="T17" s="247"/>
      <c r="U17" s="247"/>
      <c r="V17" s="247"/>
      <c r="W17" s="247"/>
      <c r="X17" s="247"/>
      <c r="Y17" s="247"/>
      <c r="Z17" s="247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46"/>
      <c r="S18" s="247"/>
      <c r="T18" s="247"/>
      <c r="U18" s="247"/>
      <c r="V18" s="247"/>
      <c r="W18" s="247"/>
      <c r="X18" s="247"/>
      <c r="Y18" s="247"/>
      <c r="Z18" s="247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7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15</v>
      </c>
      <c r="K19" s="16">
        <v>5</v>
      </c>
      <c r="L19" s="60">
        <f t="shared" ref="L19:L28" si="5">D19+K19</f>
        <v>12</v>
      </c>
      <c r="M19" s="61">
        <f>IF(L19&gt;20,5,IF(L19&gt;17,4,IF(L19&gt;14,3,IF(L19&gt;11,2,IF(L19&gt;8,1,IF(L19&gt;5,0,IF(L19&gt;2,-1,-2)))))))</f>
        <v>2</v>
      </c>
      <c r="O19" s="12" t="str">
        <f t="shared" ref="O19:O28" si="6">IF(I19&gt;0,_xlfn.CONCAT("Athletics (strength) ",I19,", "),"")</f>
        <v/>
      </c>
      <c r="P19" s="136">
        <f>IF((B19-$B$4)*100&gt;-0.2*$P$5,(B19-$B$4)*100,-0.2*$P$5)+B19*100*(G19)^2+B19*200*(K19)^2</f>
        <v>20000</v>
      </c>
      <c r="R19" s="246"/>
      <c r="S19" s="247"/>
      <c r="T19" s="247"/>
      <c r="U19" s="247"/>
      <c r="V19" s="247"/>
      <c r="W19" s="247"/>
      <c r="X19" s="247"/>
      <c r="Y19" s="247"/>
      <c r="Z19" s="247"/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7">IF(B20=0,0,ROUNDUP($O$2/2+1,0))</f>
        <v>7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15</v>
      </c>
      <c r="K20" s="16">
        <v>5</v>
      </c>
      <c r="L20" s="6">
        <f t="shared" si="5"/>
        <v>12</v>
      </c>
      <c r="M20" s="61">
        <f t="shared" ref="M20:M28" si="8">IF(L20&gt;20,5,IF(L20&gt;17,4,IF(L20&gt;14,3,IF(L20&gt;11,2,IF(L20&gt;8,1,IF(L20&gt;5,0,IF(L20&gt;2,-1,-2)))))))</f>
        <v>2</v>
      </c>
      <c r="O20" s="5" t="str">
        <f t="shared" si="6"/>
        <v/>
      </c>
      <c r="P20" s="136">
        <f>IF((B20-$B$4)*100&gt;-0.2*$P$5,(B20-$B$4)*100,-0.2*$P$5)+B20*100*(G20)^2+B20*200*(K20)^2</f>
        <v>20000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7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15</v>
      </c>
      <c r="K21" s="16"/>
      <c r="L21" s="6">
        <f t="shared" si="5"/>
        <v>0</v>
      </c>
      <c r="M21" s="61">
        <f t="shared" si="8"/>
        <v>-2</v>
      </c>
      <c r="O21" s="5" t="str">
        <f t="shared" si="6"/>
        <v/>
      </c>
      <c r="P21" s="136">
        <f t="shared" ref="P21:P26" si="9">(B21)*100+B21*100*(G21)^2+B21*200*(K21)^2</f>
        <v>0</v>
      </c>
      <c r="R21" s="7" t="s">
        <v>798</v>
      </c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7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15</v>
      </c>
      <c r="K22" s="16"/>
      <c r="L22" s="6">
        <f t="shared" si="5"/>
        <v>0</v>
      </c>
      <c r="M22" s="61">
        <f t="shared" si="8"/>
        <v>-2</v>
      </c>
      <c r="O22" s="5" t="str">
        <f t="shared" si="6"/>
        <v/>
      </c>
      <c r="P22" s="136">
        <f t="shared" si="9"/>
        <v>0</v>
      </c>
      <c r="R22" s="200"/>
      <c r="S22" s="201"/>
      <c r="T22" s="201"/>
      <c r="U22" s="201"/>
      <c r="V22" s="201"/>
      <c r="W22" s="201"/>
      <c r="X22" s="201"/>
      <c r="Y22" s="201"/>
      <c r="Z22" s="202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7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15</v>
      </c>
      <c r="K23" s="16"/>
      <c r="L23" s="6">
        <f t="shared" si="5"/>
        <v>0</v>
      </c>
      <c r="M23" s="61">
        <f t="shared" si="8"/>
        <v>-2</v>
      </c>
      <c r="O23" s="5" t="str">
        <f t="shared" si="6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7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15</v>
      </c>
      <c r="K24" s="16"/>
      <c r="L24" s="6">
        <f t="shared" si="5"/>
        <v>0</v>
      </c>
      <c r="M24" s="61">
        <f t="shared" si="8"/>
        <v>-2</v>
      </c>
      <c r="O24" s="5" t="str">
        <f t="shared" si="6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7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15</v>
      </c>
      <c r="K25" s="16"/>
      <c r="L25" s="6">
        <f t="shared" si="5"/>
        <v>0</v>
      </c>
      <c r="M25" s="61">
        <f t="shared" si="8"/>
        <v>-2</v>
      </c>
      <c r="O25" s="5" t="str">
        <f t="shared" si="6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7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15</v>
      </c>
      <c r="K26" s="80"/>
      <c r="L26" s="81">
        <f t="shared" si="5"/>
        <v>0</v>
      </c>
      <c r="M26" s="157">
        <f t="shared" si="8"/>
        <v>-2</v>
      </c>
      <c r="O26" s="5" t="str">
        <f t="shared" si="6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15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88" t="str">
        <f t="shared" si="6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15</v>
      </c>
      <c r="K28" s="19"/>
      <c r="L28" s="20">
        <f t="shared" si="5"/>
        <v>0</v>
      </c>
      <c r="M28" s="61">
        <f t="shared" si="8"/>
        <v>-2</v>
      </c>
      <c r="N28" s="24"/>
      <c r="O28" s="5" t="str">
        <f t="shared" si="6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463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7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641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1 hour recharge</v>
      </c>
      <c r="I37" s="194"/>
      <c r="J37" s="194"/>
      <c r="K37" s="43">
        <f>_xlfn.XLOOKUP(A37,OptionsTable[Name],OptionsTable[TL],,,)</f>
        <v>8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200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100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0</v>
      </c>
      <c r="F38" s="37">
        <f>IF(_xlfn.XLOOKUP(A38,OptionsTable[Name],OptionsTable[xS],,,)=FALSE,1,IF($B$4&gt;0,$E$4,1))</f>
        <v>8</v>
      </c>
      <c r="G38" s="57"/>
      <c r="H38" s="193" t="str">
        <f>IF(_xlfn.XLOOKUP(A38,OptionsTable[Name],OptionsTable[Notes],,,)="","",_xlfn.XLOOKUP(A38,OptionsTable[Name],OptionsTable[Notes],,,))</f>
        <v>+ Hostile env</v>
      </c>
      <c r="I38" s="194"/>
      <c r="J38" s="194"/>
      <c r="K38" s="43">
        <f>_xlfn.XLOOKUP(A38,OptionsTable[Name],OptionsTable[TL],,,)</f>
        <v>6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4800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/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1</v>
      </c>
      <c r="G39" s="57"/>
      <c r="H39" s="193" t="str">
        <f>IF(_xlfn.XLOOKUP(A39,OptionsTable[Name],OptionsTable[Notes],,,)="","",_xlfn.XLOOKUP(A39,OptionsTable[Name],OptionsTable[Notes],,,))</f>
        <v/>
      </c>
      <c r="I39" s="194"/>
      <c r="J39" s="194"/>
      <c r="K39" s="43">
        <f>_xlfn.XLOOKUP(A39,OptionsTable[Name],OptionsTable[TL],,,)</f>
        <v>0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/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0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0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 t="s">
        <v>554</v>
      </c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-5</v>
      </c>
      <c r="F56" s="37">
        <f>IF(_xlfn.XLOOKUP(A56,OptionsTable[Name],OptionsTable[xS],,,)=FALSE,1,IF($B$4&gt;0,$E$4,1))</f>
        <v>1</v>
      </c>
      <c r="G56" s="105">
        <v>5</v>
      </c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80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8</v>
      </c>
      <c r="I64" s="31">
        <f>IF(H64&gt;17,4,IF(H64&gt;14,3,IF(H64&gt;11,2,IF(H64&gt;8,1,IF(H64&gt;5,0,IF(H64&gt;2,-1,-2))))))</f>
        <v>0</v>
      </c>
      <c r="J64" s="1">
        <f>_xlfn.XLOOKUP(B64,Brains[Programming/Control],Brains[Computer/X],,,)</f>
        <v>2</v>
      </c>
      <c r="K64" s="43">
        <f>_xlfn.XLOOKUP(B64,Brains[Programming/Control],Brains[TL],,,)</f>
        <v>12</v>
      </c>
      <c r="L64">
        <f>_xlfn.XLOOKUP(B64,Brains[Programming/Control],Brains[Computer/X],,,)</f>
        <v>2</v>
      </c>
      <c r="M64" s="12" t="str">
        <f>_xlfn.XLOOKUP(B64,Brains[Programming/Control],Brains[Base capability (built-in no bandwidth, cumulative)],,,)</f>
        <v>Intelligent Interface, Expert/1, Security/1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156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10</v>
      </c>
      <c r="L65">
        <f>_xlfn.XLOOKUP(B65,Bandwidth[Minimum Base Brain],Bandwidth[Bandwidth],,,)+L64</f>
        <v>4</v>
      </c>
      <c r="M65" t="s">
        <v>310</v>
      </c>
      <c r="P65" s="136">
        <f>_xlfn.XLOOKUP(B65,Bandwidth[Minimum Base Brain],Bandwidth[Cost],,,)</f>
        <v>5000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8</v>
      </c>
      <c r="I66" s="15">
        <f>IF(H66&gt;17,4,IF(H66&gt;14,3,IF(H66&gt;11,2,IF(H66&gt;8,1,IF(H66&gt;5,0,IF(H66&gt;2,-1,-2))))))</f>
        <v>0</v>
      </c>
      <c r="K66" s="43"/>
      <c r="L66" s="55">
        <f>L65+F66</f>
        <v>4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2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30" t="s">
        <v>145</v>
      </c>
      <c r="B73" s="193" t="s">
        <v>793</v>
      </c>
      <c r="C73" s="227"/>
      <c r="D73" s="57">
        <v>2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2</v>
      </c>
      <c r="I73" s="58" t="str">
        <f>_xlfn.XLOOKUP(A73,StandardBrain[Name],StandardBrain[Characteristic],,,)</f>
        <v>DEX</v>
      </c>
      <c r="K73" s="43">
        <f>_xlfn.XLOOKUP(A73,StandardBrain[Name],StandardBrain[TL],,,)+D73</f>
        <v>10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Gunner (turret) 4,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10000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150</v>
      </c>
      <c r="B74" s="193" t="s">
        <v>795</v>
      </c>
      <c r="C74" s="227"/>
      <c r="D74" s="57">
        <v>2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2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10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Tactics (naval) 2,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10000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117</v>
      </c>
      <c r="B75" s="193"/>
      <c r="C75" s="227"/>
      <c r="D75" s="57"/>
      <c r="E75" s="39"/>
      <c r="G75" s="59" t="str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/>
      </c>
      <c r="I75" s="58" t="str">
        <f>_xlfn.XLOOKUP(A75,StandardBrain[Name],StandardBrain[Characteristic],,,)</f>
        <v xml:space="preserve"> </v>
      </c>
      <c r="K75" s="43">
        <f>_xlfn.XLOOKUP(A75,StandardBrain[Name],StandardBrain[TL],,,)+D75</f>
        <v>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/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0</v>
      </c>
      <c r="R76" s="203"/>
      <c r="S76" s="204"/>
      <c r="T76" s="204"/>
      <c r="U76" s="204"/>
      <c r="V76" s="204"/>
      <c r="W76" s="204"/>
      <c r="X76" s="204"/>
      <c r="Y76" s="204"/>
      <c r="Z76" s="205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  <c r="R77" s="206"/>
      <c r="S77" s="207"/>
      <c r="T77" s="207"/>
      <c r="U77" s="207"/>
      <c r="V77" s="207"/>
      <c r="W77" s="207"/>
      <c r="X77" s="207"/>
      <c r="Y77" s="207"/>
      <c r="Z77" s="208"/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88600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79700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38">
    <sortCondition ref="A36:A38"/>
  </sortState>
  <dataConsolidate/>
  <mergeCells count="114">
    <mergeCell ref="B2:D2"/>
    <mergeCell ref="F2:H2"/>
    <mergeCell ref="I2:M2"/>
    <mergeCell ref="G3:J3"/>
    <mergeCell ref="G4:I4"/>
    <mergeCell ref="K4:L4"/>
    <mergeCell ref="G5:I5"/>
    <mergeCell ref="H6:N6"/>
    <mergeCell ref="G7:I7"/>
    <mergeCell ref="G8:I8"/>
    <mergeCell ref="K8:M8"/>
    <mergeCell ref="G9:I9"/>
    <mergeCell ref="K9:M9"/>
    <mergeCell ref="G12:O12"/>
    <mergeCell ref="S11:Z11"/>
    <mergeCell ref="S12:Z12"/>
    <mergeCell ref="R7:R8"/>
    <mergeCell ref="S7:Z8"/>
    <mergeCell ref="S13:Z13"/>
    <mergeCell ref="R14:R19"/>
    <mergeCell ref="S14:Z19"/>
    <mergeCell ref="G10:H10"/>
    <mergeCell ref="K10:M10"/>
    <mergeCell ref="S9:Z9"/>
    <mergeCell ref="G11:H11"/>
    <mergeCell ref="K11:L11"/>
    <mergeCell ref="S10:Z10"/>
    <mergeCell ref="H33:J33"/>
    <mergeCell ref="A34:D34"/>
    <mergeCell ref="H34:J34"/>
    <mergeCell ref="H35:J35"/>
    <mergeCell ref="A36:D36"/>
    <mergeCell ref="H36:J36"/>
    <mergeCell ref="R22:Z77"/>
    <mergeCell ref="B29:D29"/>
    <mergeCell ref="H29:J29"/>
    <mergeCell ref="A30:D30"/>
    <mergeCell ref="H30:J30"/>
    <mergeCell ref="A31:D31"/>
    <mergeCell ref="H31:J31"/>
    <mergeCell ref="A32:D32"/>
    <mergeCell ref="H32:J32"/>
    <mergeCell ref="A33:D33"/>
    <mergeCell ref="A40:D40"/>
    <mergeCell ref="H40:J40"/>
    <mergeCell ref="A41:D41"/>
    <mergeCell ref="H41:J41"/>
    <mergeCell ref="A42:D42"/>
    <mergeCell ref="H42:J42"/>
    <mergeCell ref="A37:D37"/>
    <mergeCell ref="H37:J37"/>
    <mergeCell ref="A38:D38"/>
    <mergeCell ref="H38:J38"/>
    <mergeCell ref="A39:D39"/>
    <mergeCell ref="H39:J39"/>
    <mergeCell ref="A46:D46"/>
    <mergeCell ref="H46:J46"/>
    <mergeCell ref="A47:D47"/>
    <mergeCell ref="H47:J47"/>
    <mergeCell ref="A48:D48"/>
    <mergeCell ref="H48:J48"/>
    <mergeCell ref="A43:D43"/>
    <mergeCell ref="H43:J43"/>
    <mergeCell ref="A44:D44"/>
    <mergeCell ref="H44:J44"/>
    <mergeCell ref="A45:D45"/>
    <mergeCell ref="H45:J45"/>
    <mergeCell ref="A52:D52"/>
    <mergeCell ref="H52:J52"/>
    <mergeCell ref="A53:D53"/>
    <mergeCell ref="H53:J53"/>
    <mergeCell ref="A54:D54"/>
    <mergeCell ref="H54:J54"/>
    <mergeCell ref="A49:D49"/>
    <mergeCell ref="H49:J49"/>
    <mergeCell ref="A50:D50"/>
    <mergeCell ref="H50:J50"/>
    <mergeCell ref="A51:D51"/>
    <mergeCell ref="H51:J51"/>
    <mergeCell ref="A59:D59"/>
    <mergeCell ref="H59:I59"/>
    <mergeCell ref="A60:D60"/>
    <mergeCell ref="H60:I60"/>
    <mergeCell ref="A61:D61"/>
    <mergeCell ref="H61:I61"/>
    <mergeCell ref="A55:D55"/>
    <mergeCell ref="H55:J55"/>
    <mergeCell ref="A56:D56"/>
    <mergeCell ref="H56:J56"/>
    <mergeCell ref="A57:D57"/>
    <mergeCell ref="H57:J57"/>
    <mergeCell ref="B74:C74"/>
    <mergeCell ref="B75:C75"/>
    <mergeCell ref="B76:C76"/>
    <mergeCell ref="B77:C77"/>
    <mergeCell ref="B78:C78"/>
    <mergeCell ref="B79:C79"/>
    <mergeCell ref="B64:D64"/>
    <mergeCell ref="B65:D65"/>
    <mergeCell ref="B69:D69"/>
    <mergeCell ref="B70:D70"/>
    <mergeCell ref="B71:D71"/>
    <mergeCell ref="B73:C73"/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</mergeCells>
  <conditionalFormatting sqref="B14">
    <cfRule type="expression" dxfId="125" priority="6">
      <formula>ABS($J$14-6) &gt; 6</formula>
    </cfRule>
  </conditionalFormatting>
  <conditionalFormatting sqref="E2">
    <cfRule type="expression" dxfId="124" priority="4">
      <formula>$E$2&lt;0</formula>
    </cfRule>
  </conditionalFormatting>
  <conditionalFormatting sqref="E15:E17">
    <cfRule type="expression" dxfId="123" priority="1">
      <formula>AND($B$4=0,E15&lt;0)</formula>
    </cfRule>
  </conditionalFormatting>
  <conditionalFormatting sqref="K5 K30:K34 K36:K57 K59:K61 K64:K67 K73:K90">
    <cfRule type="expression" dxfId="122" priority="5">
      <formula>K5&gt;$O$2</formula>
    </cfRule>
  </conditionalFormatting>
  <conditionalFormatting sqref="L57">
    <cfRule type="expression" dxfId="121" priority="2">
      <formula>L57&gt;$O$2</formula>
    </cfRule>
  </conditionalFormatting>
  <conditionalFormatting sqref="L67">
    <cfRule type="expression" dxfId="120" priority="3">
      <formula>L67&lt;0</formula>
    </cfRule>
  </conditionalFormatting>
  <dataValidations count="20">
    <dataValidation type="whole" allowBlank="1" showInputMessage="1" showErrorMessage="1" error="Must be a negative number no less than a 50% of the base hits" sqref="B11" xr:uid="{753FDFFC-2515-4470-9EF8-793C9CB33A21}">
      <formula1>-J4/2</formula1>
      <formula2>0</formula2>
    </dataValidation>
    <dataValidation type="whole" allowBlank="1" showInputMessage="1" showErrorMessage="1" error="Must be whole number. No more than 50% of slots may be used for Resiliency" sqref="B10" xr:uid="{316F2310-B2A4-4D1B-BF44-EC17B8F0809C}">
      <formula1>0</formula1>
      <formula2>E4/2</formula2>
    </dataValidation>
    <dataValidation type="whole" allowBlank="1" showInputMessage="1" showErrorMessage="1" sqref="E11" xr:uid="{0150F42C-13D6-40D7-9B05-B814FE63C4A7}">
      <formula1>0</formula1>
      <formula2>J4/2</formula2>
    </dataValidation>
    <dataValidation type="list" allowBlank="1" showInputMessage="1" showErrorMessage="1" error="Maximum = 3" sqref="B9" xr:uid="{5944E8D2-0643-4477-B475-9D3A8125DDF6}">
      <formula1>"0,1,2,3"</formula1>
    </dataValidation>
    <dataValidation type="list" allowBlank="1" showInputMessage="1" showErrorMessage="1" sqref="B4" xr:uid="{CBD8AA24-7E34-404C-A437-F1F798A4C92E}">
      <formula1>"0,1,2,3,4,5,6,7,8"</formula1>
    </dataValidation>
    <dataValidation type="list" allowBlank="1" showInputMessage="1" showErrorMessage="1" sqref="O2" xr:uid="{F3309635-208A-4D48-A2AB-C755814814FA}">
      <formula1>"7,8,9,10,11,12,13,14,15,16,17,18"</formula1>
    </dataValidation>
    <dataValidation type="whole" allowBlank="1" showInputMessage="1" showErrorMessage="1" error="Max Manipulator Size = Chassis Size +2_x000a_Min Manipulator Size = 0_x000a_Whole Numbers Only" sqref="B19:B26" xr:uid="{C865D61B-FC2A-4C08-8220-DC4F529C55DB}">
      <formula1>0</formula1>
      <formula2>$B$4+2</formula2>
    </dataValidation>
    <dataValidation type="list" allowBlank="1" showInputMessage="1" showErrorMessage="1" sqref="B27:B28 B67 B8" xr:uid="{BE727AF5-739E-4F5F-ADDB-A409F8188639}">
      <formula1>"TRUE,FALSE"</formula1>
    </dataValidation>
    <dataValidation type="list" allowBlank="1" showInputMessage="1" showErrorMessage="1" sqref="B13" xr:uid="{C6045633-06FD-4093-8439-8A04DAD5D2DE}">
      <formula1>"0,1,2,3,4"</formula1>
    </dataValidation>
    <dataValidation type="list" allowBlank="1" showInputMessage="1" showErrorMessage="1" sqref="D73:D90 B66" xr:uid="{08136A86-86EF-42D5-846E-CF2FB59FB448}">
      <formula1>"0,1,2,3"</formula1>
    </dataValidation>
    <dataValidation type="list" allowBlank="1" showInputMessage="1" showErrorMessage="1" sqref="B15" xr:uid="{191CCE6F-CEDF-4707-8E00-1F4CD770F400}">
      <formula1>"FALSE,TRUE"</formula1>
    </dataValidation>
    <dataValidation type="list" allowBlank="1" showInputMessage="1" showErrorMessage="1" sqref="B16" xr:uid="{DE27155D-BBCC-4076-A3E4-334F421D198D}">
      <formula1>"No,1X,2X,3X"</formula1>
    </dataValidation>
    <dataValidation type="whole" allowBlank="1" showInputMessage="1" showErrorMessage="1" error="Must be whole number between -6 and +12" sqref="B14" xr:uid="{17FE58F8-224B-4627-8C7E-5B8B7937EBEA}">
      <formula1>-6</formula1>
      <formula2>12</formula2>
    </dataValidation>
    <dataValidation type="whole" allowBlank="1" showInputMessage="1" showErrorMessage="1" sqref="C11:D11" xr:uid="{2D690F57-F23E-46D5-989B-17963E2D6048}">
      <formula1>0</formula1>
      <formula2>D4/2</formula2>
    </dataValidation>
    <dataValidation type="whole" allowBlank="1" showInputMessage="1" showErrorMessage="1" sqref="C13:D13" xr:uid="{532DDF3F-12A1-498F-AEA2-0F696482708E}">
      <formula1>0</formula1>
      <formula2>D5/2</formula2>
    </dataValidation>
    <dataValidation type="whole" allowBlank="1" showInputMessage="1" showErrorMessage="1" sqref="C14:D14" xr:uid="{CAB6388B-47D3-427A-A646-B3A5D54C3F1C}">
      <formula1>0</formula1>
      <formula2>D15/2</formula2>
    </dataValidation>
    <dataValidation type="whole" allowBlank="1" showInputMessage="1" showErrorMessage="1" sqref="E13:E14" xr:uid="{31A68708-39C8-41FC-B3F8-716B08B241F7}">
      <formula1>0</formula1>
      <formula2>#REF!/2</formula2>
    </dataValidation>
    <dataValidation type="whole" allowBlank="1" showInputMessage="1" showErrorMessage="1" error="Max STR = Lesser of Size + TL or SIZE X 4" sqref="G19:G28" xr:uid="{78FF1EC3-7A63-4A03-8A17-255D130A6290}">
      <formula1>0</formula1>
      <formula2>F19-C19</formula2>
    </dataValidation>
    <dataValidation type="whole" allowBlank="1" showInputMessage="1" showErrorMessage="1" error="Max DEX = TL+3" sqref="K19:K28" xr:uid="{BD34480E-CCCA-4A98-BA15-FE028C4F6745}">
      <formula1>0</formula1>
      <formula2>J19-D19</formula2>
    </dataValidation>
    <dataValidation type="whole" allowBlank="1" showInputMessage="1" showErrorMessage="1" error="Total Armour cannot exceed Maximum" sqref="B7" xr:uid="{075C5DC3-4F00-4AC8-8B43-40D6EAE03E8C}">
      <formula1>-1</formula1>
      <formula2>L7-MID(A7,18,1)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FCDEC8B4-E05F-4DF7-A9D6-4CB24665225B}">
          <x14:formula1>
            <xm:f>Options!$C$9:$C$71</xm:f>
          </x14:formula1>
          <xm:sqref>A30:A34</xm:sqref>
        </x14:dataValidation>
        <x14:dataValidation type="list" allowBlank="1" showInputMessage="1" showErrorMessage="1" xr:uid="{6F0FD2D4-1ADB-4F14-B308-95FF6A36D5A4}">
          <x14:formula1>
            <xm:f>Chassis!$H$3:$H$13</xm:f>
          </x14:formula1>
          <xm:sqref>B17 B5</xm:sqref>
        </x14:dataValidation>
        <x14:dataValidation type="list" allowBlank="1" showInputMessage="1" showErrorMessage="1" xr:uid="{89963C1D-64E8-4D43-B453-315929AAD92B}">
          <x14:formula1>
            <xm:f>Packages!$B$11:$B$19</xm:f>
          </x14:formula1>
          <xm:sqref>B70</xm:sqref>
        </x14:dataValidation>
        <x14:dataValidation type="list" allowBlank="1" showInputMessage="1" showErrorMessage="1" xr:uid="{9A84AC2B-5C30-45D6-B70A-CFA51F3D3070}">
          <x14:formula1>
            <xm:f>Packages!$B$3:$B$7</xm:f>
          </x14:formula1>
          <xm:sqref>B69</xm:sqref>
        </x14:dataValidation>
        <x14:dataValidation type="list" allowBlank="1" showInputMessage="1" showErrorMessage="1" xr:uid="{FAD2E20B-D969-4D1C-9512-C0B19ABC9213}">
          <x14:formula1>
            <xm:f>Packages!$B$23:$B$25</xm:f>
          </x14:formula1>
          <xm:sqref>B71</xm:sqref>
        </x14:dataValidation>
        <x14:dataValidation type="list" allowBlank="1" showInputMessage="1" showErrorMessage="1" xr:uid="{E86FABB7-9AC4-49AD-90A0-FFBF5677DCCA}">
          <x14:formula1>
            <xm:f>Options!$C$9:$C$251</xm:f>
          </x14:formula1>
          <xm:sqref>A36:A56</xm:sqref>
        </x14:dataValidation>
        <x14:dataValidation type="list" allowBlank="1" showInputMessage="1" showErrorMessage="1" xr:uid="{E5C11750-3A00-4BE8-BA9F-139B8EAF4F89}">
          <x14:formula1>
            <xm:f>Packages!$B$29:$B$68</xm:f>
          </x14:formula1>
          <xm:sqref>A73:A90</xm:sqref>
        </x14:dataValidation>
        <x14:dataValidation type="list" allowBlank="1" showInputMessage="1" showErrorMessage="1" xr:uid="{D123B833-B1BF-47EB-80D0-5F951A440B50}">
          <x14:formula1>
            <xm:f>Brains!$K$3:$K$16</xm:f>
          </x14:formula1>
          <xm:sqref>B65</xm:sqref>
        </x14:dataValidation>
        <x14:dataValidation type="list" allowBlank="1" showInputMessage="1" showErrorMessage="1" xr:uid="{0FD3D9F2-A226-4BF7-B5CB-F9D597678483}">
          <x14:formula1>
            <xm:f>Brains!$B$3:$B$19</xm:f>
          </x14:formula1>
          <xm:sqref>B64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5C9C-DDED-4BBE-B0DE-09CC87CD480D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 t="s">
        <v>807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142800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4</v>
      </c>
      <c r="E4" s="114">
        <f>_xlfn.XLOOKUP(B4,Size[Size],Size[Base Slots],,,)</f>
        <v>8</v>
      </c>
      <c r="F4" s="37">
        <f>B4+O2</f>
        <v>19</v>
      </c>
      <c r="G4" s="168" t="s">
        <v>299</v>
      </c>
      <c r="H4" s="168"/>
      <c r="I4" s="169"/>
      <c r="J4" s="108">
        <f>_xlfn.XLOOKUP(B4,Size[Size],Size[Base hits],,,)</f>
        <v>12</v>
      </c>
      <c r="K4" s="170" t="s">
        <v>727</v>
      </c>
      <c r="L4" s="171"/>
      <c r="M4" s="52">
        <f>_xlfn.XLOOKUP(B4,Size[Size],Size[Basic Cost],,,)</f>
        <v>800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(-1), </v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8000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Enhanced Gunner Droid</v>
      </c>
      <c r="S6" s="143">
        <f>M11</f>
        <v>12</v>
      </c>
      <c r="T6" s="143" t="str">
        <f>B5</f>
        <v>Walker</v>
      </c>
      <c r="U6" s="143" t="str">
        <f>_xlfn.CONCAT(J14," m")</f>
        <v>5 m</v>
      </c>
      <c r="V6" s="144">
        <f>O2</f>
        <v>15</v>
      </c>
      <c r="W6" s="147">
        <f>P91</f>
        <v>158700</v>
      </c>
      <c r="X6" s="151">
        <f>IF(I2="Standard Design",0.1,0)</f>
        <v>0.1</v>
      </c>
      <c r="Y6" s="152">
        <v>2</v>
      </c>
      <c r="Z6" s="147">
        <f>FLOOR(P91*(1-X6),100)</f>
        <v>142800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Gunner (turret) 5, Tactics (naval) 3,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144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-1</v>
      </c>
      <c r="F9" s="37"/>
      <c r="G9" s="179" t="s">
        <v>302</v>
      </c>
      <c r="H9" s="179"/>
      <c r="I9" s="180"/>
      <c r="J9" s="51">
        <f>J8*(1+B9)</f>
        <v>288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500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15)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12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288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Small (-1), (idle),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Very 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288 hours</v>
      </c>
      <c r="L14" s="5"/>
      <c r="M14" s="5"/>
      <c r="N14" s="5"/>
      <c r="P14" s="136">
        <f>B14*0.1*P5</f>
        <v>0</v>
      </c>
      <c r="R14" s="245" t="s">
        <v>475</v>
      </c>
      <c r="S14" s="233" t="str">
        <f>_xlfn.CONCAT(A30,", ",A31,", ",A32,", ",A33,", ",A34,", ",A36,", ",A37,", ",A38,", ",A39,", ",A40,", ",A41,", ",A42,", ",A43,", ",A44,", ",A45,", ",A46,", ",A47,", ",A48,", ",A49,", ",A50,", ",A51,", ",A52,", ",A53,", ",A54,", ",A55,", ",A56)</f>
        <v>Auditory Sensor, Transceiver 5 km (basic), Visual Spectrum Sensor, Voder Speaker, Wireless Data Link, Drone Interface, Quick Charger, Vacuum Environment Protection, , , , , , , , , , , , , , , , , , (spare slot)</v>
      </c>
      <c r="T14" s="233"/>
      <c r="U14" s="233"/>
      <c r="V14" s="233"/>
      <c r="W14" s="233"/>
      <c r="X14" s="233"/>
      <c r="Y14" s="233"/>
      <c r="Z14" s="233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46"/>
      <c r="S15" s="247"/>
      <c r="T15" s="247"/>
      <c r="U15" s="247"/>
      <c r="V15" s="247"/>
      <c r="W15" s="247"/>
      <c r="X15" s="247"/>
      <c r="Y15" s="247"/>
      <c r="Z15" s="247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46"/>
      <c r="S16" s="247"/>
      <c r="T16" s="247"/>
      <c r="U16" s="247"/>
      <c r="V16" s="247"/>
      <c r="W16" s="247"/>
      <c r="X16" s="247"/>
      <c r="Y16" s="247"/>
      <c r="Z16" s="247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46"/>
      <c r="S17" s="247"/>
      <c r="T17" s="247"/>
      <c r="U17" s="247"/>
      <c r="V17" s="247"/>
      <c r="W17" s="247"/>
      <c r="X17" s="247"/>
      <c r="Y17" s="247"/>
      <c r="Z17" s="247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46"/>
      <c r="S18" s="247"/>
      <c r="T18" s="247"/>
      <c r="U18" s="247"/>
      <c r="V18" s="247"/>
      <c r="W18" s="247"/>
      <c r="X18" s="247"/>
      <c r="Y18" s="247"/>
      <c r="Z18" s="247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9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18</v>
      </c>
      <c r="K19" s="16">
        <v>6</v>
      </c>
      <c r="L19" s="60">
        <f t="shared" ref="L19:L28" si="5">D19+K19</f>
        <v>15</v>
      </c>
      <c r="M19" s="61">
        <f>IF(L19&gt;20,5,IF(L19&gt;17,4,IF(L19&gt;14,3,IF(L19&gt;11,2,IF(L19&gt;8,1,IF(L19&gt;5,0,IF(L19&gt;2,-1,-2)))))))</f>
        <v>3</v>
      </c>
      <c r="O19" s="12" t="str">
        <f t="shared" ref="O19:O28" si="6">IF(I19&gt;0,_xlfn.CONCAT("Athletics (strength) ",I19,", "),"")</f>
        <v/>
      </c>
      <c r="P19" s="136">
        <f>IF((B19-$B$4)*100&gt;-0.2*$P$5,(B19-$B$4)*100,-0.2*$P$5)+B19*100*(G19)^2+B19*200*(K19)^2</f>
        <v>28800</v>
      </c>
      <c r="R19" s="246"/>
      <c r="S19" s="247"/>
      <c r="T19" s="247"/>
      <c r="U19" s="247"/>
      <c r="V19" s="247"/>
      <c r="W19" s="247"/>
      <c r="X19" s="247"/>
      <c r="Y19" s="247"/>
      <c r="Z19" s="247"/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7">IF(B20=0,0,ROUNDUP($O$2/2+1,0))</f>
        <v>9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18</v>
      </c>
      <c r="K20" s="16">
        <v>6</v>
      </c>
      <c r="L20" s="6">
        <f t="shared" si="5"/>
        <v>15</v>
      </c>
      <c r="M20" s="61">
        <f t="shared" ref="M20:M28" si="8">IF(L20&gt;20,5,IF(L20&gt;17,4,IF(L20&gt;14,3,IF(L20&gt;11,2,IF(L20&gt;8,1,IF(L20&gt;5,0,IF(L20&gt;2,-1,-2)))))))</f>
        <v>3</v>
      </c>
      <c r="O20" s="5" t="str">
        <f t="shared" si="6"/>
        <v/>
      </c>
      <c r="P20" s="136">
        <f>IF((B20-$B$4)*100&gt;-0.2*$P$5,(B20-$B$4)*100,-0.2*$P$5)+B20*100*(G20)^2+B20*200*(K20)^2</f>
        <v>28800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7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5"/>
        <v>0</v>
      </c>
      <c r="M21" s="61">
        <f t="shared" si="8"/>
        <v>-2</v>
      </c>
      <c r="O21" s="5" t="str">
        <f t="shared" si="6"/>
        <v/>
      </c>
      <c r="P21" s="136">
        <f t="shared" ref="P21:P26" si="9">(B21)*100+B21*100*(G21)^2+B21*200*(K21)^2</f>
        <v>0</v>
      </c>
      <c r="R21" s="7" t="s">
        <v>798</v>
      </c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7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5"/>
        <v>0</v>
      </c>
      <c r="M22" s="61">
        <f t="shared" si="8"/>
        <v>-2</v>
      </c>
      <c r="O22" s="5" t="str">
        <f t="shared" si="6"/>
        <v/>
      </c>
      <c r="P22" s="136">
        <f t="shared" si="9"/>
        <v>0</v>
      </c>
      <c r="R22" s="200"/>
      <c r="S22" s="201"/>
      <c r="T22" s="201"/>
      <c r="U22" s="201"/>
      <c r="V22" s="201"/>
      <c r="W22" s="201"/>
      <c r="X22" s="201"/>
      <c r="Y22" s="201"/>
      <c r="Z22" s="202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7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5"/>
        <v>0</v>
      </c>
      <c r="M23" s="61">
        <f t="shared" si="8"/>
        <v>-2</v>
      </c>
      <c r="O23" s="5" t="str">
        <f t="shared" si="6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7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5"/>
        <v>0</v>
      </c>
      <c r="M24" s="61">
        <f t="shared" si="8"/>
        <v>-2</v>
      </c>
      <c r="O24" s="5" t="str">
        <f t="shared" si="6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7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5"/>
        <v>0</v>
      </c>
      <c r="M25" s="61">
        <f t="shared" si="8"/>
        <v>-2</v>
      </c>
      <c r="O25" s="5" t="str">
        <f t="shared" si="6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7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5"/>
        <v>0</v>
      </c>
      <c r="M26" s="157">
        <f t="shared" si="8"/>
        <v>-2</v>
      </c>
      <c r="O26" s="5" t="str">
        <f t="shared" si="6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88" t="str">
        <f t="shared" si="6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5"/>
        <v>0</v>
      </c>
      <c r="M28" s="61">
        <f t="shared" si="8"/>
        <v>-2</v>
      </c>
      <c r="N28" s="24"/>
      <c r="O28" s="5" t="str">
        <f t="shared" si="6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463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7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641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1 hour recharge</v>
      </c>
      <c r="I37" s="194"/>
      <c r="J37" s="194"/>
      <c r="K37" s="43">
        <f>_xlfn.XLOOKUP(A37,OptionsTable[Name],OptionsTable[TL],,,)</f>
        <v>8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200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100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0</v>
      </c>
      <c r="F38" s="37">
        <f>IF(_xlfn.XLOOKUP(A38,OptionsTable[Name],OptionsTable[xS],,,)=FALSE,1,IF($B$4&gt;0,$E$4,1))</f>
        <v>8</v>
      </c>
      <c r="G38" s="57"/>
      <c r="H38" s="193" t="str">
        <f>IF(_xlfn.XLOOKUP(A38,OptionsTable[Name],OptionsTable[Notes],,,)="","",_xlfn.XLOOKUP(A38,OptionsTable[Name],OptionsTable[Notes],,,))</f>
        <v>+ Hostile env</v>
      </c>
      <c r="I38" s="194"/>
      <c r="J38" s="194"/>
      <c r="K38" s="43">
        <f>_xlfn.XLOOKUP(A38,OptionsTable[Name],OptionsTable[TL],,,)</f>
        <v>6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4800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/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1</v>
      </c>
      <c r="G39" s="57"/>
      <c r="H39" s="193" t="str">
        <f>IF(_xlfn.XLOOKUP(A39,OptionsTable[Name],OptionsTable[Notes],,,)="","",_xlfn.XLOOKUP(A39,OptionsTable[Name],OptionsTable[Notes],,,))</f>
        <v/>
      </c>
      <c r="I39" s="194"/>
      <c r="J39" s="194"/>
      <c r="K39" s="43">
        <f>_xlfn.XLOOKUP(A39,OptionsTable[Name],OptionsTable[TL],,,)</f>
        <v>0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/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0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0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 t="s">
        <v>554</v>
      </c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-5</v>
      </c>
      <c r="F56" s="37">
        <f>IF(_xlfn.XLOOKUP(A56,OptionsTable[Name],OptionsTable[xS],,,)=FALSE,1,IF($B$4&gt;0,$E$4,1))</f>
        <v>1</v>
      </c>
      <c r="G56" s="105">
        <v>5</v>
      </c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81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9</v>
      </c>
      <c r="I64" s="31">
        <f>IF(H64&gt;17,4,IF(H64&gt;14,3,IF(H64&gt;11,2,IF(H64&gt;8,1,IF(H64&gt;5,0,IF(H64&gt;2,-1,-2))))))</f>
        <v>1</v>
      </c>
      <c r="J64" s="1">
        <f>_xlfn.XLOOKUP(B64,Brains[Programming/Control],Brains[Computer/X],,,)</f>
        <v>3</v>
      </c>
      <c r="K64" s="43">
        <f>_xlfn.XLOOKUP(B64,Brains[Programming/Control],Brains[TL],,,)</f>
        <v>12</v>
      </c>
      <c r="L64">
        <f>_xlfn.XLOOKUP(B64,Brains[Programming/Control],Brains[Computer/X],,,)</f>
        <v>3</v>
      </c>
      <c r="M64" s="12" t="str">
        <f>_xlfn.XLOOKUP(B64,Brains[Programming/Control],Brains[Base capability (built-in no bandwidth, cumulative)],,,)</f>
        <v>Intellect Interface, Expert/2, Security/2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62500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156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10</v>
      </c>
      <c r="L65">
        <f>_xlfn.XLOOKUP(B65,Bandwidth[Minimum Base Brain],Bandwidth[Bandwidth],,,)+L64</f>
        <v>5</v>
      </c>
      <c r="M65" t="s">
        <v>310</v>
      </c>
      <c r="P65" s="136">
        <f>_xlfn.XLOOKUP(B65,Bandwidth[Minimum Base Brain],Bandwidth[Cost],,,)</f>
        <v>5000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5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3</v>
      </c>
      <c r="K67" s="42"/>
      <c r="L67" s="56">
        <f>L66-SUM(G69:G90)</f>
        <v>1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30" t="s">
        <v>145</v>
      </c>
      <c r="B73" s="193" t="s">
        <v>793</v>
      </c>
      <c r="C73" s="227"/>
      <c r="D73" s="57">
        <v>2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2</v>
      </c>
      <c r="I73" s="58" t="str">
        <f>_xlfn.XLOOKUP(A73,StandardBrain[Name],StandardBrain[Characteristic],,,)</f>
        <v>DEX</v>
      </c>
      <c r="K73" s="43">
        <f>_xlfn.XLOOKUP(A73,StandardBrain[Name],StandardBrain[TL],,,)+D73</f>
        <v>10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Gunner (turret) 5,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10000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150</v>
      </c>
      <c r="B74" s="193" t="s">
        <v>795</v>
      </c>
      <c r="C74" s="227"/>
      <c r="D74" s="57">
        <v>2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2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10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Tactics (naval) 3,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10000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117</v>
      </c>
      <c r="B75" s="193"/>
      <c r="C75" s="227"/>
      <c r="D75" s="57"/>
      <c r="E75" s="39"/>
      <c r="G75" s="59" t="str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/>
      </c>
      <c r="I75" s="58" t="str">
        <f>_xlfn.XLOOKUP(A75,StandardBrain[Name],StandardBrain[Characteristic],,,)</f>
        <v xml:space="preserve"> </v>
      </c>
      <c r="K75" s="43">
        <f>_xlfn.XLOOKUP(A75,StandardBrain[Name],StandardBrain[TL],,,)+D75</f>
        <v>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/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0</v>
      </c>
      <c r="R76" s="203"/>
      <c r="S76" s="204"/>
      <c r="T76" s="204"/>
      <c r="U76" s="204"/>
      <c r="V76" s="204"/>
      <c r="W76" s="204"/>
      <c r="X76" s="204"/>
      <c r="Y76" s="204"/>
      <c r="Z76" s="205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  <c r="R77" s="206"/>
      <c r="S77" s="207"/>
      <c r="T77" s="207"/>
      <c r="U77" s="207"/>
      <c r="V77" s="207"/>
      <c r="W77" s="207"/>
      <c r="X77" s="207"/>
      <c r="Y77" s="207"/>
      <c r="Z77" s="208"/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158700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142800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dataConsolidate/>
  <mergeCells count="114"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4:D64"/>
    <mergeCell ref="B65:D65"/>
    <mergeCell ref="B69:D69"/>
    <mergeCell ref="B70:D70"/>
    <mergeCell ref="B71:D71"/>
    <mergeCell ref="B73:C73"/>
    <mergeCell ref="A59:D59"/>
    <mergeCell ref="H59:I59"/>
    <mergeCell ref="A60:D60"/>
    <mergeCell ref="H60:I60"/>
    <mergeCell ref="A61:D61"/>
    <mergeCell ref="H61:I61"/>
    <mergeCell ref="A55:D55"/>
    <mergeCell ref="H55:J55"/>
    <mergeCell ref="A56:D56"/>
    <mergeCell ref="H56:J56"/>
    <mergeCell ref="A57:D57"/>
    <mergeCell ref="H57:J57"/>
    <mergeCell ref="A52:D52"/>
    <mergeCell ref="H52:J52"/>
    <mergeCell ref="A53:D53"/>
    <mergeCell ref="H53:J53"/>
    <mergeCell ref="A54:D54"/>
    <mergeCell ref="H54:J54"/>
    <mergeCell ref="A49:D49"/>
    <mergeCell ref="H49:J49"/>
    <mergeCell ref="A50:D50"/>
    <mergeCell ref="H50:J50"/>
    <mergeCell ref="A51:D51"/>
    <mergeCell ref="H51:J51"/>
    <mergeCell ref="A38:D38"/>
    <mergeCell ref="H38:J38"/>
    <mergeCell ref="A39:D39"/>
    <mergeCell ref="H39:J39"/>
    <mergeCell ref="A46:D46"/>
    <mergeCell ref="H46:J46"/>
    <mergeCell ref="A47:D47"/>
    <mergeCell ref="H47:J47"/>
    <mergeCell ref="A48:D48"/>
    <mergeCell ref="H48:J48"/>
    <mergeCell ref="A43:D43"/>
    <mergeCell ref="H43:J43"/>
    <mergeCell ref="A44:D44"/>
    <mergeCell ref="H44:J44"/>
    <mergeCell ref="A45:D45"/>
    <mergeCell ref="H45:J45"/>
    <mergeCell ref="H33:J33"/>
    <mergeCell ref="A34:D34"/>
    <mergeCell ref="H34:J34"/>
    <mergeCell ref="H35:J35"/>
    <mergeCell ref="A36:D36"/>
    <mergeCell ref="H36:J36"/>
    <mergeCell ref="R22:Z77"/>
    <mergeCell ref="B29:D29"/>
    <mergeCell ref="H29:J29"/>
    <mergeCell ref="A30:D30"/>
    <mergeCell ref="H30:J30"/>
    <mergeCell ref="A31:D31"/>
    <mergeCell ref="H31:J31"/>
    <mergeCell ref="A32:D32"/>
    <mergeCell ref="H32:J32"/>
    <mergeCell ref="A33:D33"/>
    <mergeCell ref="A40:D40"/>
    <mergeCell ref="H40:J40"/>
    <mergeCell ref="A41:D41"/>
    <mergeCell ref="H41:J41"/>
    <mergeCell ref="A42:D42"/>
    <mergeCell ref="H42:J42"/>
    <mergeCell ref="A37:D37"/>
    <mergeCell ref="H37:J37"/>
    <mergeCell ref="S13:Z13"/>
    <mergeCell ref="R14:R19"/>
    <mergeCell ref="S14:Z19"/>
    <mergeCell ref="G10:H10"/>
    <mergeCell ref="K10:M10"/>
    <mergeCell ref="S9:Z9"/>
    <mergeCell ref="G11:H11"/>
    <mergeCell ref="K11:L11"/>
    <mergeCell ref="S10:Z10"/>
    <mergeCell ref="G8:I8"/>
    <mergeCell ref="K8:M8"/>
    <mergeCell ref="G9:I9"/>
    <mergeCell ref="K9:M9"/>
    <mergeCell ref="G12:O12"/>
    <mergeCell ref="S11:Z11"/>
    <mergeCell ref="S12:Z12"/>
    <mergeCell ref="R7:R8"/>
    <mergeCell ref="S7:Z8"/>
    <mergeCell ref="B2:D2"/>
    <mergeCell ref="F2:H2"/>
    <mergeCell ref="I2:M2"/>
    <mergeCell ref="G3:J3"/>
    <mergeCell ref="G4:I4"/>
    <mergeCell ref="K4:L4"/>
    <mergeCell ref="G5:I5"/>
    <mergeCell ref="H6:N6"/>
    <mergeCell ref="G7:I7"/>
  </mergeCells>
  <conditionalFormatting sqref="B14">
    <cfRule type="expression" dxfId="119" priority="6">
      <formula>ABS($J$14-6) &gt; 6</formula>
    </cfRule>
  </conditionalFormatting>
  <conditionalFormatting sqref="E2">
    <cfRule type="expression" dxfId="118" priority="4">
      <formula>$E$2&lt;0</formula>
    </cfRule>
  </conditionalFormatting>
  <conditionalFormatting sqref="E15:E17">
    <cfRule type="expression" dxfId="117" priority="1">
      <formula>AND($B$4=0,E15&lt;0)</formula>
    </cfRule>
  </conditionalFormatting>
  <conditionalFormatting sqref="K5 K30:K34 K36:K57 K59:K61 K64:K67 K73:K90">
    <cfRule type="expression" dxfId="116" priority="5">
      <formula>K5&gt;$O$2</formula>
    </cfRule>
  </conditionalFormatting>
  <conditionalFormatting sqref="L57">
    <cfRule type="expression" dxfId="115" priority="2">
      <formula>L57&gt;$O$2</formula>
    </cfRule>
  </conditionalFormatting>
  <conditionalFormatting sqref="L67">
    <cfRule type="expression" dxfId="114" priority="3">
      <formula>L67&lt;0</formula>
    </cfRule>
  </conditionalFormatting>
  <dataValidations count="20">
    <dataValidation type="whole" allowBlank="1" showInputMessage="1" showErrorMessage="1" error="Must be a negative number no less than a 50% of the base hits" sqref="B11" xr:uid="{B07B4D37-6C11-4CD2-8470-5F3866928090}">
      <formula1>-J4/2</formula1>
      <formula2>0</formula2>
    </dataValidation>
    <dataValidation type="whole" allowBlank="1" showInputMessage="1" showErrorMessage="1" error="Must be whole number. No more than 50% of slots may be used for Resiliency" sqref="B10" xr:uid="{3AD8F335-F26A-43C2-909F-492AC01A6F4B}">
      <formula1>0</formula1>
      <formula2>E4/2</formula2>
    </dataValidation>
    <dataValidation type="whole" allowBlank="1" showInputMessage="1" showErrorMessage="1" sqref="E11" xr:uid="{2F79E085-DB25-498A-A373-6CC2FB9F6E86}">
      <formula1>0</formula1>
      <formula2>J4/2</formula2>
    </dataValidation>
    <dataValidation type="list" allowBlank="1" showInputMessage="1" showErrorMessage="1" error="Maximum = 3" sqref="B9" xr:uid="{B94E5EDB-2D4E-465D-8810-9D4E95896189}">
      <formula1>"0,1,2,3"</formula1>
    </dataValidation>
    <dataValidation type="list" allowBlank="1" showInputMessage="1" showErrorMessage="1" sqref="B4" xr:uid="{882B9C29-237A-4381-83CE-FD3B4FC6EB05}">
      <formula1>"0,1,2,3,4,5,6,7,8"</formula1>
    </dataValidation>
    <dataValidation type="list" allowBlank="1" showInputMessage="1" showErrorMessage="1" sqref="O2" xr:uid="{D001987E-B952-4E79-BC26-3DDC73696825}">
      <formula1>"7,8,9,10,11,12,13,14,15,16,17,18"</formula1>
    </dataValidation>
    <dataValidation type="whole" allowBlank="1" showInputMessage="1" showErrorMessage="1" error="Max Manipulator Size = Chassis Size +2_x000a_Min Manipulator Size = 0_x000a_Whole Numbers Only" sqref="B19:B26" xr:uid="{9D70537F-6B75-47EE-9019-36A1CDBF7F32}">
      <formula1>0</formula1>
      <formula2>$B$4+2</formula2>
    </dataValidation>
    <dataValidation type="list" allowBlank="1" showInputMessage="1" showErrorMessage="1" sqref="B27:B28 B67 B8" xr:uid="{28EDAA50-8C1A-4DCC-8A2C-83A608300C1C}">
      <formula1>"TRUE,FALSE"</formula1>
    </dataValidation>
    <dataValidation type="list" allowBlank="1" showInputMessage="1" showErrorMessage="1" sqref="B13" xr:uid="{8C274D64-DFA4-4A41-A33F-EE0F5E53FDFE}">
      <formula1>"0,1,2,3,4"</formula1>
    </dataValidation>
    <dataValidation type="list" allowBlank="1" showInputMessage="1" showErrorMessage="1" sqref="D73:D90 B66" xr:uid="{9CA22BF7-CEB0-4585-B6CB-EFDC450F53CD}">
      <formula1>"0,1,2,3"</formula1>
    </dataValidation>
    <dataValidation type="list" allowBlank="1" showInputMessage="1" showErrorMessage="1" sqref="B15" xr:uid="{330F264B-77AA-4FAA-AB5C-3B484BBB9A65}">
      <formula1>"FALSE,TRUE"</formula1>
    </dataValidation>
    <dataValidation type="list" allowBlank="1" showInputMessage="1" showErrorMessage="1" sqref="B16" xr:uid="{47778B97-8A5E-41B2-9401-EC08295196CF}">
      <formula1>"No,1X,2X,3X"</formula1>
    </dataValidation>
    <dataValidation type="whole" allowBlank="1" showInputMessage="1" showErrorMessage="1" error="Must be whole number between -6 and +12" sqref="B14" xr:uid="{41A3B117-BB2C-431B-8143-FF15AFC77627}">
      <formula1>-6</formula1>
      <formula2>12</formula2>
    </dataValidation>
    <dataValidation type="whole" allowBlank="1" showInputMessage="1" showErrorMessage="1" sqref="C11:D11" xr:uid="{87ECF32C-8BA4-4C1B-BF83-E11A1491C618}">
      <formula1>0</formula1>
      <formula2>D4/2</formula2>
    </dataValidation>
    <dataValidation type="whole" allowBlank="1" showInputMessage="1" showErrorMessage="1" sqref="C13:D13" xr:uid="{4C0F4DEB-3153-4882-A1E5-E631A3049EC4}">
      <formula1>0</formula1>
      <formula2>D5/2</formula2>
    </dataValidation>
    <dataValidation type="whole" allowBlank="1" showInputMessage="1" showErrorMessage="1" sqref="C14:D14" xr:uid="{B6EC1C79-6C94-408A-92B4-1AAB0EF2CE25}">
      <formula1>0</formula1>
      <formula2>D15/2</formula2>
    </dataValidation>
    <dataValidation type="whole" allowBlank="1" showInputMessage="1" showErrorMessage="1" sqref="E13:E14" xr:uid="{B79CBBE7-CE71-4B66-B304-14621ACDAF31}">
      <formula1>0</formula1>
      <formula2>#REF!/2</formula2>
    </dataValidation>
    <dataValidation type="whole" allowBlank="1" showInputMessage="1" showErrorMessage="1" error="Max STR = Lesser of Size + TL or SIZE X 4" sqref="G19:G28" xr:uid="{010218CE-F396-4728-897C-A67FEBCD195A}">
      <formula1>0</formula1>
      <formula2>F19-C19</formula2>
    </dataValidation>
    <dataValidation type="whole" allowBlank="1" showInputMessage="1" showErrorMessage="1" error="Max DEX = TL+3" sqref="K19:K28" xr:uid="{3AD28C39-3848-4792-A21E-48FC9CA6F8B5}">
      <formula1>0</formula1>
      <formula2>J19-D19</formula2>
    </dataValidation>
    <dataValidation type="whole" allowBlank="1" showInputMessage="1" showErrorMessage="1" error="Total Armour cannot exceed Maximum" sqref="B7" xr:uid="{D9C48DC4-562A-4DA5-B2E8-BF17C26F7B5C}">
      <formula1>-1</formula1>
      <formula2>L7-MID(A7,18,1)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C43D31F-4DCA-4AEA-9250-ABA830826381}">
          <x14:formula1>
            <xm:f>Brains!$B$3:$B$19</xm:f>
          </x14:formula1>
          <xm:sqref>B64</xm:sqref>
        </x14:dataValidation>
        <x14:dataValidation type="list" allowBlank="1" showInputMessage="1" showErrorMessage="1" xr:uid="{08D90AEE-0ACA-4486-8C89-4E4E9B06DAF0}">
          <x14:formula1>
            <xm:f>Brains!$K$3:$K$16</xm:f>
          </x14:formula1>
          <xm:sqref>B65</xm:sqref>
        </x14:dataValidation>
        <x14:dataValidation type="list" allowBlank="1" showInputMessage="1" showErrorMessage="1" xr:uid="{2D89FA55-823C-4EBF-8009-42651076CB9B}">
          <x14:formula1>
            <xm:f>Packages!$B$29:$B$68</xm:f>
          </x14:formula1>
          <xm:sqref>A73:A90</xm:sqref>
        </x14:dataValidation>
        <x14:dataValidation type="list" allowBlank="1" showInputMessage="1" showErrorMessage="1" xr:uid="{26F3E0A8-999F-43ED-B718-AD7FDA0F752E}">
          <x14:formula1>
            <xm:f>Options!$C$9:$C$251</xm:f>
          </x14:formula1>
          <xm:sqref>A36:A56</xm:sqref>
        </x14:dataValidation>
        <x14:dataValidation type="list" allowBlank="1" showInputMessage="1" showErrorMessage="1" xr:uid="{56E9D5C4-5059-4AEC-B991-F10BA8801961}">
          <x14:formula1>
            <xm:f>Options!$C$9:$C$71</xm:f>
          </x14:formula1>
          <xm:sqref>A30:A34</xm:sqref>
        </x14:dataValidation>
        <x14:dataValidation type="list" allowBlank="1" showInputMessage="1" showErrorMessage="1" xr:uid="{1AF91ECF-7E92-4C8C-B520-8A821875B8C1}">
          <x14:formula1>
            <xm:f>Chassis!$H$3:$H$13</xm:f>
          </x14:formula1>
          <xm:sqref>B17 B5</xm:sqref>
        </x14:dataValidation>
        <x14:dataValidation type="list" allowBlank="1" showInputMessage="1" showErrorMessage="1" xr:uid="{F5994DF0-B474-429E-86A9-84994C7E567B}">
          <x14:formula1>
            <xm:f>Packages!$B$11:$B$19</xm:f>
          </x14:formula1>
          <xm:sqref>B70</xm:sqref>
        </x14:dataValidation>
        <x14:dataValidation type="list" allowBlank="1" showInputMessage="1" showErrorMessage="1" xr:uid="{5A4DA8FB-95A6-4E68-A3E8-32FBC1BBAE17}">
          <x14:formula1>
            <xm:f>Packages!$B$3:$B$7</xm:f>
          </x14:formula1>
          <xm:sqref>B69</xm:sqref>
        </x14:dataValidation>
        <x14:dataValidation type="list" allowBlank="1" showInputMessage="1" showErrorMessage="1" xr:uid="{A3E4B2DA-87D5-49A1-BF3F-B952171A4B4F}">
          <x14:formula1>
            <xm:f>Packages!$B$23:$B$25</xm:f>
          </x14:formula1>
          <xm:sqref>B71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7825D-4B89-446B-804F-C83F979B0899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 t="s">
        <v>808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318300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4</v>
      </c>
      <c r="E4" s="114">
        <f>_xlfn.XLOOKUP(B4,Size[Size],Size[Base Slots],,,)</f>
        <v>8</v>
      </c>
      <c r="F4" s="37">
        <f>B4+O2</f>
        <v>19</v>
      </c>
      <c r="G4" s="168" t="s">
        <v>299</v>
      </c>
      <c r="H4" s="168"/>
      <c r="I4" s="169"/>
      <c r="J4" s="108">
        <f>_xlfn.XLOOKUP(B4,Size[Size],Size[Base hits],,,)</f>
        <v>12</v>
      </c>
      <c r="K4" s="170" t="s">
        <v>727</v>
      </c>
      <c r="L4" s="171"/>
      <c r="M4" s="52">
        <f>_xlfn.XLOOKUP(B4,Size[Size],Size[Basic Cost],,,)</f>
        <v>800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(-1), </v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8000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Advanced Gunner Droid</v>
      </c>
      <c r="S6" s="143">
        <f>M11</f>
        <v>12</v>
      </c>
      <c r="T6" s="143" t="str">
        <f>B5</f>
        <v>Walker</v>
      </c>
      <c r="U6" s="143" t="str">
        <f>_xlfn.CONCAT(J14," m")</f>
        <v>5 m</v>
      </c>
      <c r="V6" s="144">
        <f>O2</f>
        <v>15</v>
      </c>
      <c r="W6" s="147">
        <f>P91</f>
        <v>353700</v>
      </c>
      <c r="X6" s="151">
        <f>IF(I2="Standard Design",0.1,0)</f>
        <v>0.1</v>
      </c>
      <c r="Y6" s="152">
        <v>2</v>
      </c>
      <c r="Z6" s="147">
        <f>FLOOR(P91*(1-X6),100)</f>
        <v>318300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Gunner (turret) 6, Tactics (naval) 4,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144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-1</v>
      </c>
      <c r="F9" s="37"/>
      <c r="G9" s="179" t="s">
        <v>302</v>
      </c>
      <c r="H9" s="179"/>
      <c r="I9" s="180"/>
      <c r="J9" s="51">
        <f>J8*(1+B9)</f>
        <v>288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500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15)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12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288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Small (-1), (idle),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Very 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288 hours</v>
      </c>
      <c r="L14" s="5"/>
      <c r="M14" s="5"/>
      <c r="N14" s="5"/>
      <c r="P14" s="136">
        <f>B14*0.1*P5</f>
        <v>0</v>
      </c>
      <c r="R14" s="245" t="s">
        <v>475</v>
      </c>
      <c r="S14" s="233" t="str">
        <f>_xlfn.CONCAT(A30,", ",A31,", ",A32,", ",A33,", ",A34,", ",A36,", ",A37,", ",A38,", ",A39,", ",A40,", ",A41,", ",A42,", ",A43,", ",A44,", ",A45,", ",A46,", ",A47,", ",A48,", ",A49,", ",A50,", ",A51,", ",A52,", ",A53,", ",A54,", ",A55,", ",A56)</f>
        <v>Auditory Sensor, Transceiver 5 km (basic), Visual Spectrum Sensor, Voder Speaker, Wireless Data Link, Drone Interface, Quick Charger, Vacuum Environment Protection, , , , , , , , , , , , , , , , , , (spare slot)</v>
      </c>
      <c r="T14" s="233"/>
      <c r="U14" s="233"/>
      <c r="V14" s="233"/>
      <c r="W14" s="233"/>
      <c r="X14" s="233"/>
      <c r="Y14" s="233"/>
      <c r="Z14" s="233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46"/>
      <c r="S15" s="247"/>
      <c r="T15" s="247"/>
      <c r="U15" s="247"/>
      <c r="V15" s="247"/>
      <c r="W15" s="247"/>
      <c r="X15" s="247"/>
      <c r="Y15" s="247"/>
      <c r="Z15" s="247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46"/>
      <c r="S16" s="247"/>
      <c r="T16" s="247"/>
      <c r="U16" s="247"/>
      <c r="V16" s="247"/>
      <c r="W16" s="247"/>
      <c r="X16" s="247"/>
      <c r="Y16" s="247"/>
      <c r="Z16" s="247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46"/>
      <c r="S17" s="247"/>
      <c r="T17" s="247"/>
      <c r="U17" s="247"/>
      <c r="V17" s="247"/>
      <c r="W17" s="247"/>
      <c r="X17" s="247"/>
      <c r="Y17" s="247"/>
      <c r="Z17" s="247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46"/>
      <c r="S18" s="247"/>
      <c r="T18" s="247"/>
      <c r="U18" s="247"/>
      <c r="V18" s="247"/>
      <c r="W18" s="247"/>
      <c r="X18" s="247"/>
      <c r="Y18" s="247"/>
      <c r="Z18" s="247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9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18</v>
      </c>
      <c r="K19" s="16">
        <v>6</v>
      </c>
      <c r="L19" s="60">
        <f t="shared" ref="L19:L28" si="5">D19+K19</f>
        <v>15</v>
      </c>
      <c r="M19" s="61">
        <f>IF(L19&gt;20,5,IF(L19&gt;17,4,IF(L19&gt;14,3,IF(L19&gt;11,2,IF(L19&gt;8,1,IF(L19&gt;5,0,IF(L19&gt;2,-1,-2)))))))</f>
        <v>3</v>
      </c>
      <c r="O19" s="12" t="str">
        <f t="shared" ref="O19:O28" si="6">IF(I19&gt;0,_xlfn.CONCAT("Athletics (strength) ",I19,", "),"")</f>
        <v/>
      </c>
      <c r="P19" s="136">
        <f>IF((B19-$B$4)*100&gt;-0.2*$P$5,(B19-$B$4)*100,-0.2*$P$5)+B19*100*(G19)^2+B19*200*(K19)^2</f>
        <v>28800</v>
      </c>
      <c r="R19" s="246"/>
      <c r="S19" s="247"/>
      <c r="T19" s="247"/>
      <c r="U19" s="247"/>
      <c r="V19" s="247"/>
      <c r="W19" s="247"/>
      <c r="X19" s="247"/>
      <c r="Y19" s="247"/>
      <c r="Z19" s="247"/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7">IF(B20=0,0,ROUNDUP($O$2/2+1,0))</f>
        <v>9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18</v>
      </c>
      <c r="K20" s="16">
        <v>6</v>
      </c>
      <c r="L20" s="6">
        <f t="shared" si="5"/>
        <v>15</v>
      </c>
      <c r="M20" s="61">
        <f t="shared" ref="M20:M28" si="8">IF(L20&gt;20,5,IF(L20&gt;17,4,IF(L20&gt;14,3,IF(L20&gt;11,2,IF(L20&gt;8,1,IF(L20&gt;5,0,IF(L20&gt;2,-1,-2)))))))</f>
        <v>3</v>
      </c>
      <c r="O20" s="5" t="str">
        <f t="shared" si="6"/>
        <v/>
      </c>
      <c r="P20" s="136">
        <f>IF((B20-$B$4)*100&gt;-0.2*$P$5,(B20-$B$4)*100,-0.2*$P$5)+B20*100*(G20)^2+B20*200*(K20)^2</f>
        <v>28800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7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5"/>
        <v>0</v>
      </c>
      <c r="M21" s="61">
        <f t="shared" si="8"/>
        <v>-2</v>
      </c>
      <c r="O21" s="5" t="str">
        <f t="shared" si="6"/>
        <v/>
      </c>
      <c r="P21" s="136">
        <f t="shared" ref="P21:P26" si="9">(B21)*100+B21*100*(G21)^2+B21*200*(K21)^2</f>
        <v>0</v>
      </c>
      <c r="R21" s="7" t="s">
        <v>798</v>
      </c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7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5"/>
        <v>0</v>
      </c>
      <c r="M22" s="61">
        <f t="shared" si="8"/>
        <v>-2</v>
      </c>
      <c r="O22" s="5" t="str">
        <f t="shared" si="6"/>
        <v/>
      </c>
      <c r="P22" s="136">
        <f t="shared" si="9"/>
        <v>0</v>
      </c>
      <c r="R22" s="200"/>
      <c r="S22" s="201"/>
      <c r="T22" s="201"/>
      <c r="U22" s="201"/>
      <c r="V22" s="201"/>
      <c r="W22" s="201"/>
      <c r="X22" s="201"/>
      <c r="Y22" s="201"/>
      <c r="Z22" s="202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7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5"/>
        <v>0</v>
      </c>
      <c r="M23" s="61">
        <f t="shared" si="8"/>
        <v>-2</v>
      </c>
      <c r="O23" s="5" t="str">
        <f t="shared" si="6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7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5"/>
        <v>0</v>
      </c>
      <c r="M24" s="61">
        <f t="shared" si="8"/>
        <v>-2</v>
      </c>
      <c r="O24" s="5" t="str">
        <f t="shared" si="6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7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5"/>
        <v>0</v>
      </c>
      <c r="M25" s="61">
        <f t="shared" si="8"/>
        <v>-2</v>
      </c>
      <c r="O25" s="5" t="str">
        <f t="shared" si="6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7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5"/>
        <v>0</v>
      </c>
      <c r="M26" s="157">
        <f t="shared" si="8"/>
        <v>-2</v>
      </c>
      <c r="O26" s="5" t="str">
        <f t="shared" si="6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88" t="str">
        <f t="shared" si="6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5"/>
        <v>0</v>
      </c>
      <c r="M28" s="61">
        <f t="shared" si="8"/>
        <v>-2</v>
      </c>
      <c r="N28" s="24"/>
      <c r="O28" s="5" t="str">
        <f t="shared" si="6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463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7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641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1 hour recharge</v>
      </c>
      <c r="I37" s="194"/>
      <c r="J37" s="194"/>
      <c r="K37" s="43">
        <f>_xlfn.XLOOKUP(A37,OptionsTable[Name],OptionsTable[TL],,,)</f>
        <v>8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200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100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0</v>
      </c>
      <c r="F38" s="37">
        <f>IF(_xlfn.XLOOKUP(A38,OptionsTable[Name],OptionsTable[xS],,,)=FALSE,1,IF($B$4&gt;0,$E$4,1))</f>
        <v>8</v>
      </c>
      <c r="G38" s="57"/>
      <c r="H38" s="193" t="str">
        <f>IF(_xlfn.XLOOKUP(A38,OptionsTable[Name],OptionsTable[Notes],,,)="","",_xlfn.XLOOKUP(A38,OptionsTable[Name],OptionsTable[Notes],,,))</f>
        <v>+ Hostile env</v>
      </c>
      <c r="I38" s="194"/>
      <c r="J38" s="194"/>
      <c r="K38" s="43">
        <f>_xlfn.XLOOKUP(A38,OptionsTable[Name],OptionsTable[TL],,,)</f>
        <v>6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4800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/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1</v>
      </c>
      <c r="G39" s="57"/>
      <c r="H39" s="193" t="str">
        <f>IF(_xlfn.XLOOKUP(A39,OptionsTable[Name],OptionsTable[Notes],,,)="","",_xlfn.XLOOKUP(A39,OptionsTable[Name],OptionsTable[Notes],,,))</f>
        <v/>
      </c>
      <c r="I39" s="194"/>
      <c r="J39" s="194"/>
      <c r="K39" s="43">
        <f>_xlfn.XLOOKUP(A39,OptionsTable[Name],OptionsTable[TL],,,)</f>
        <v>0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/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0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0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 t="s">
        <v>554</v>
      </c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-5</v>
      </c>
      <c r="F56" s="37">
        <f>IF(_xlfn.XLOOKUP(A56,OptionsTable[Name],OptionsTable[xS],,,)=FALSE,1,IF($B$4&gt;0,$E$4,1))</f>
        <v>1</v>
      </c>
      <c r="G56" s="105">
        <v>5</v>
      </c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81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9</v>
      </c>
      <c r="I64" s="31">
        <f>IF(H64&gt;17,4,IF(H64&gt;14,3,IF(H64&gt;11,2,IF(H64&gt;8,1,IF(H64&gt;5,0,IF(H64&gt;2,-1,-2))))))</f>
        <v>1</v>
      </c>
      <c r="J64" s="1">
        <f>_xlfn.XLOOKUP(B64,Brains[Programming/Control],Brains[Computer/X],,,)</f>
        <v>3</v>
      </c>
      <c r="K64" s="43">
        <f>_xlfn.XLOOKUP(B64,Brains[Programming/Control],Brains[TL],,,)</f>
        <v>12</v>
      </c>
      <c r="L64">
        <f>_xlfn.XLOOKUP(B64,Brains[Programming/Control],Brains[Computer/X],,,)</f>
        <v>3</v>
      </c>
      <c r="M64" s="12" t="str">
        <f>_xlfn.XLOOKUP(B64,Brains[Programming/Control],Brains[Base capability (built-in no bandwidth, cumulative)],,,)</f>
        <v>Intellect Interface, Expert/2, Security/2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62500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159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12</v>
      </c>
      <c r="L65">
        <f>_xlfn.XLOOKUP(B65,Bandwidth[Minimum Base Brain],Bandwidth[Bandwidth],,,)+L64</f>
        <v>7</v>
      </c>
      <c r="M65" t="s">
        <v>310</v>
      </c>
      <c r="P65" s="136">
        <f>_xlfn.XLOOKUP(B65,Bandwidth[Minimum Base Brain],Bandwidth[Cost],,,)</f>
        <v>20000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7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3</v>
      </c>
      <c r="K67" s="42"/>
      <c r="L67" s="56">
        <f>L66-SUM(G69:G90)</f>
        <v>1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30" t="s">
        <v>145</v>
      </c>
      <c r="B73" s="193" t="s">
        <v>793</v>
      </c>
      <c r="C73" s="227"/>
      <c r="D73" s="57">
        <v>3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3</v>
      </c>
      <c r="I73" s="58" t="str">
        <f>_xlfn.XLOOKUP(A73,StandardBrain[Name],StandardBrain[Characteristic],,,)</f>
        <v>DEX</v>
      </c>
      <c r="K73" s="43">
        <f>_xlfn.XLOOKUP(A73,StandardBrain[Name],StandardBrain[TL],,,)+D73</f>
        <v>11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Gunner (turret) 6,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100000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150</v>
      </c>
      <c r="B74" s="193" t="s">
        <v>795</v>
      </c>
      <c r="C74" s="227"/>
      <c r="D74" s="57">
        <v>3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3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11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Tactics (naval) 4,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100000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117</v>
      </c>
      <c r="B75" s="193"/>
      <c r="C75" s="227"/>
      <c r="D75" s="57"/>
      <c r="E75" s="39"/>
      <c r="G75" s="59" t="str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/>
      </c>
      <c r="I75" s="58" t="str">
        <f>_xlfn.XLOOKUP(A75,StandardBrain[Name],StandardBrain[Characteristic],,,)</f>
        <v xml:space="preserve"> </v>
      </c>
      <c r="K75" s="43">
        <f>_xlfn.XLOOKUP(A75,StandardBrain[Name],StandardBrain[TL],,,)+D75</f>
        <v>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/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0</v>
      </c>
      <c r="R76" s="203"/>
      <c r="S76" s="204"/>
      <c r="T76" s="204"/>
      <c r="U76" s="204"/>
      <c r="V76" s="204"/>
      <c r="W76" s="204"/>
      <c r="X76" s="204"/>
      <c r="Y76" s="204"/>
      <c r="Z76" s="205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  <c r="R77" s="206"/>
      <c r="S77" s="207"/>
      <c r="T77" s="207"/>
      <c r="U77" s="207"/>
      <c r="V77" s="207"/>
      <c r="W77" s="207"/>
      <c r="X77" s="207"/>
      <c r="Y77" s="207"/>
      <c r="Z77" s="208"/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353700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318300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dataConsolidate/>
  <mergeCells count="114">
    <mergeCell ref="B2:D2"/>
    <mergeCell ref="F2:H2"/>
    <mergeCell ref="I2:M2"/>
    <mergeCell ref="G3:J3"/>
    <mergeCell ref="G4:I4"/>
    <mergeCell ref="K4:L4"/>
    <mergeCell ref="G5:I5"/>
    <mergeCell ref="H6:N6"/>
    <mergeCell ref="G7:I7"/>
    <mergeCell ref="G8:I8"/>
    <mergeCell ref="K8:M8"/>
    <mergeCell ref="G9:I9"/>
    <mergeCell ref="K9:M9"/>
    <mergeCell ref="G12:O12"/>
    <mergeCell ref="S11:Z11"/>
    <mergeCell ref="S12:Z12"/>
    <mergeCell ref="R7:R8"/>
    <mergeCell ref="S7:Z8"/>
    <mergeCell ref="S13:Z13"/>
    <mergeCell ref="R14:R19"/>
    <mergeCell ref="S14:Z19"/>
    <mergeCell ref="G10:H10"/>
    <mergeCell ref="K10:M10"/>
    <mergeCell ref="S9:Z9"/>
    <mergeCell ref="G11:H11"/>
    <mergeCell ref="K11:L11"/>
    <mergeCell ref="S10:Z10"/>
    <mergeCell ref="H33:J33"/>
    <mergeCell ref="A34:D34"/>
    <mergeCell ref="H34:J34"/>
    <mergeCell ref="H35:J35"/>
    <mergeCell ref="A36:D36"/>
    <mergeCell ref="H36:J36"/>
    <mergeCell ref="R22:Z77"/>
    <mergeCell ref="B29:D29"/>
    <mergeCell ref="H29:J29"/>
    <mergeCell ref="A30:D30"/>
    <mergeCell ref="H30:J30"/>
    <mergeCell ref="A31:D31"/>
    <mergeCell ref="H31:J31"/>
    <mergeCell ref="A32:D32"/>
    <mergeCell ref="H32:J32"/>
    <mergeCell ref="A33:D33"/>
    <mergeCell ref="A40:D40"/>
    <mergeCell ref="H40:J40"/>
    <mergeCell ref="A41:D41"/>
    <mergeCell ref="H41:J41"/>
    <mergeCell ref="A42:D42"/>
    <mergeCell ref="H42:J42"/>
    <mergeCell ref="A37:D37"/>
    <mergeCell ref="H37:J37"/>
    <mergeCell ref="A38:D38"/>
    <mergeCell ref="H38:J38"/>
    <mergeCell ref="A39:D39"/>
    <mergeCell ref="H39:J39"/>
    <mergeCell ref="A46:D46"/>
    <mergeCell ref="H46:J46"/>
    <mergeCell ref="A47:D47"/>
    <mergeCell ref="H47:J47"/>
    <mergeCell ref="A48:D48"/>
    <mergeCell ref="H48:J48"/>
    <mergeCell ref="A43:D43"/>
    <mergeCell ref="H43:J43"/>
    <mergeCell ref="A44:D44"/>
    <mergeCell ref="H44:J44"/>
    <mergeCell ref="A45:D45"/>
    <mergeCell ref="H45:J45"/>
    <mergeCell ref="A52:D52"/>
    <mergeCell ref="H52:J52"/>
    <mergeCell ref="A53:D53"/>
    <mergeCell ref="H53:J53"/>
    <mergeCell ref="A54:D54"/>
    <mergeCell ref="H54:J54"/>
    <mergeCell ref="A49:D49"/>
    <mergeCell ref="H49:J49"/>
    <mergeCell ref="A50:D50"/>
    <mergeCell ref="H50:J50"/>
    <mergeCell ref="A51:D51"/>
    <mergeCell ref="H51:J51"/>
    <mergeCell ref="A59:D59"/>
    <mergeCell ref="H59:I59"/>
    <mergeCell ref="A60:D60"/>
    <mergeCell ref="H60:I60"/>
    <mergeCell ref="A61:D61"/>
    <mergeCell ref="H61:I61"/>
    <mergeCell ref="A55:D55"/>
    <mergeCell ref="H55:J55"/>
    <mergeCell ref="A56:D56"/>
    <mergeCell ref="H56:J56"/>
    <mergeCell ref="A57:D57"/>
    <mergeCell ref="H57:J57"/>
    <mergeCell ref="B74:C74"/>
    <mergeCell ref="B75:C75"/>
    <mergeCell ref="B76:C76"/>
    <mergeCell ref="B77:C77"/>
    <mergeCell ref="B78:C78"/>
    <mergeCell ref="B79:C79"/>
    <mergeCell ref="B64:D64"/>
    <mergeCell ref="B65:D65"/>
    <mergeCell ref="B69:D69"/>
    <mergeCell ref="B70:D70"/>
    <mergeCell ref="B71:D71"/>
    <mergeCell ref="B73:C73"/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</mergeCells>
  <conditionalFormatting sqref="B14">
    <cfRule type="expression" dxfId="113" priority="6">
      <formula>ABS($J$14-6) &gt; 6</formula>
    </cfRule>
  </conditionalFormatting>
  <conditionalFormatting sqref="E2">
    <cfRule type="expression" dxfId="112" priority="4">
      <formula>$E$2&lt;0</formula>
    </cfRule>
  </conditionalFormatting>
  <conditionalFormatting sqref="E15:E17">
    <cfRule type="expression" dxfId="111" priority="1">
      <formula>AND($B$4=0,E15&lt;0)</formula>
    </cfRule>
  </conditionalFormatting>
  <conditionalFormatting sqref="K5 K30:K34 K36:K57 K59:K61 K64:K67 K73:K90">
    <cfRule type="expression" dxfId="110" priority="5">
      <formula>K5&gt;$O$2</formula>
    </cfRule>
  </conditionalFormatting>
  <conditionalFormatting sqref="L57">
    <cfRule type="expression" dxfId="109" priority="2">
      <formula>L57&gt;$O$2</formula>
    </cfRule>
  </conditionalFormatting>
  <conditionalFormatting sqref="L67">
    <cfRule type="expression" dxfId="108" priority="3">
      <formula>L67&lt;0</formula>
    </cfRule>
  </conditionalFormatting>
  <dataValidations count="20">
    <dataValidation type="whole" allowBlank="1" showInputMessage="1" showErrorMessage="1" error="Total Armour cannot exceed Maximum" sqref="B7" xr:uid="{E8E4036B-04D3-4A44-AF43-C59CB8BB85D9}">
      <formula1>-1</formula1>
      <formula2>L7-MID(A7,18,1)</formula2>
    </dataValidation>
    <dataValidation type="whole" allowBlank="1" showInputMessage="1" showErrorMessage="1" error="Max DEX = TL+3" sqref="K19:K28" xr:uid="{8BE2B0DD-642F-44F5-9E33-0F1D3964F473}">
      <formula1>0</formula1>
      <formula2>J19-D19</formula2>
    </dataValidation>
    <dataValidation type="whole" allowBlank="1" showInputMessage="1" showErrorMessage="1" error="Max STR = Lesser of Size + TL or SIZE X 4" sqref="G19:G28" xr:uid="{09C259C8-9F7D-4A25-B8AB-61EF6AE0F05C}">
      <formula1>0</formula1>
      <formula2>F19-C19</formula2>
    </dataValidation>
    <dataValidation type="whole" allowBlank="1" showInputMessage="1" showErrorMessage="1" sqref="E13:E14" xr:uid="{93FDBB6F-A409-45FA-B02B-643731EC3AD7}">
      <formula1>0</formula1>
      <formula2>#REF!/2</formula2>
    </dataValidation>
    <dataValidation type="whole" allowBlank="1" showInputMessage="1" showErrorMessage="1" sqref="C14:D14" xr:uid="{486A8E86-E67D-4790-AED0-620C10BDDAA6}">
      <formula1>0</formula1>
      <formula2>D15/2</formula2>
    </dataValidation>
    <dataValidation type="whole" allowBlank="1" showInputMessage="1" showErrorMessage="1" sqref="C13:D13" xr:uid="{D911EC61-E996-4E5A-96B1-A8FF5E0B6861}">
      <formula1>0</formula1>
      <formula2>D5/2</formula2>
    </dataValidation>
    <dataValidation type="whole" allowBlank="1" showInputMessage="1" showErrorMessage="1" sqref="C11:D11" xr:uid="{2EAB8084-1F39-4970-BDE1-F03FD829C060}">
      <formula1>0</formula1>
      <formula2>D4/2</formula2>
    </dataValidation>
    <dataValidation type="whole" allowBlank="1" showInputMessage="1" showErrorMessage="1" error="Must be whole number between -6 and +12" sqref="B14" xr:uid="{EE5D69AB-8C77-40B8-8692-4747F47456C7}">
      <formula1>-6</formula1>
      <formula2>12</formula2>
    </dataValidation>
    <dataValidation type="list" allowBlank="1" showInputMessage="1" showErrorMessage="1" sqref="B16" xr:uid="{283BE8A7-D0D9-4473-AEB6-8074AA2842B2}">
      <formula1>"No,1X,2X,3X"</formula1>
    </dataValidation>
    <dataValidation type="list" allowBlank="1" showInputMessage="1" showErrorMessage="1" sqref="B15" xr:uid="{76D3BBBB-6642-45DE-9C96-B772A6C473C1}">
      <formula1>"FALSE,TRUE"</formula1>
    </dataValidation>
    <dataValidation type="list" allowBlank="1" showInputMessage="1" showErrorMessage="1" sqref="D73:D90 B66" xr:uid="{EF71DE13-7290-4486-8EA9-9C29887C1D4E}">
      <formula1>"0,1,2,3"</formula1>
    </dataValidation>
    <dataValidation type="list" allowBlank="1" showInputMessage="1" showErrorMessage="1" sqref="B13" xr:uid="{794E77EB-479B-44AB-B6AF-6242CE53153D}">
      <formula1>"0,1,2,3,4"</formula1>
    </dataValidation>
    <dataValidation type="list" allowBlank="1" showInputMessage="1" showErrorMessage="1" sqref="B27:B28 B67 B8" xr:uid="{BD2C688A-20B2-42CA-BF3E-8CCBFC6DF301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6A15CE99-E221-49DC-B868-F1C67757FFF8}">
      <formula1>0</formula1>
      <formula2>$B$4+2</formula2>
    </dataValidation>
    <dataValidation type="list" allowBlank="1" showInputMessage="1" showErrorMessage="1" sqref="O2" xr:uid="{3E57D521-0F2F-4F9A-922C-718C59D72020}">
      <formula1>"7,8,9,10,11,12,13,14,15,16,17,18"</formula1>
    </dataValidation>
    <dataValidation type="list" allowBlank="1" showInputMessage="1" showErrorMessage="1" sqref="B4" xr:uid="{A75FE767-CFD6-4606-B629-4CBF80B6D048}">
      <formula1>"0,1,2,3,4,5,6,7,8"</formula1>
    </dataValidation>
    <dataValidation type="list" allowBlank="1" showInputMessage="1" showErrorMessage="1" error="Maximum = 3" sqref="B9" xr:uid="{B8AFA26E-4B1D-41F7-A00E-E27792C5C878}">
      <formula1>"0,1,2,3"</formula1>
    </dataValidation>
    <dataValidation type="whole" allowBlank="1" showInputMessage="1" showErrorMessage="1" sqref="E11" xr:uid="{51754934-3925-48AF-ADA6-6F7A44720691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CDA2114B-13F8-4B6C-98C7-83A3E7352A37}">
      <formula1>0</formula1>
      <formula2>E4/2</formula2>
    </dataValidation>
    <dataValidation type="whole" allowBlank="1" showInputMessage="1" showErrorMessage="1" error="Must be a negative number no less than a 50% of the base hits" sqref="B11" xr:uid="{01AACE1B-1E42-48F4-8E9E-2F7C0B9F7EA5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131E1C8-2524-4109-9A53-460CF3AB8BFA}">
          <x14:formula1>
            <xm:f>Packages!$B$23:$B$25</xm:f>
          </x14:formula1>
          <xm:sqref>B71</xm:sqref>
        </x14:dataValidation>
        <x14:dataValidation type="list" allowBlank="1" showInputMessage="1" showErrorMessage="1" xr:uid="{8ABE52CC-D858-4D59-B7BF-3792EF902B5E}">
          <x14:formula1>
            <xm:f>Packages!$B$3:$B$7</xm:f>
          </x14:formula1>
          <xm:sqref>B69</xm:sqref>
        </x14:dataValidation>
        <x14:dataValidation type="list" allowBlank="1" showInputMessage="1" showErrorMessage="1" xr:uid="{8F4FB44C-521C-4711-821A-5D820954CA38}">
          <x14:formula1>
            <xm:f>Packages!$B$11:$B$19</xm:f>
          </x14:formula1>
          <xm:sqref>B70</xm:sqref>
        </x14:dataValidation>
        <x14:dataValidation type="list" allowBlank="1" showInputMessage="1" showErrorMessage="1" xr:uid="{3880DE0A-A5CC-408E-AF1A-0D489645F689}">
          <x14:formula1>
            <xm:f>Chassis!$H$3:$H$13</xm:f>
          </x14:formula1>
          <xm:sqref>B17 B5</xm:sqref>
        </x14:dataValidation>
        <x14:dataValidation type="list" allowBlank="1" showInputMessage="1" showErrorMessage="1" xr:uid="{FEF1A16E-72B8-4284-9FA6-4F0FBFEA4A63}">
          <x14:formula1>
            <xm:f>Options!$C$9:$C$71</xm:f>
          </x14:formula1>
          <xm:sqref>A30:A34</xm:sqref>
        </x14:dataValidation>
        <x14:dataValidation type="list" allowBlank="1" showInputMessage="1" showErrorMessage="1" xr:uid="{12B55706-160F-4B1B-B7B0-3EEF4E000083}">
          <x14:formula1>
            <xm:f>Options!$C$9:$C$251</xm:f>
          </x14:formula1>
          <xm:sqref>A36:A56</xm:sqref>
        </x14:dataValidation>
        <x14:dataValidation type="list" allowBlank="1" showInputMessage="1" showErrorMessage="1" xr:uid="{651D6266-31BB-4511-AF1D-36F60941B39C}">
          <x14:formula1>
            <xm:f>Packages!$B$29:$B$68</xm:f>
          </x14:formula1>
          <xm:sqref>A73:A90</xm:sqref>
        </x14:dataValidation>
        <x14:dataValidation type="list" allowBlank="1" showInputMessage="1" showErrorMessage="1" xr:uid="{C9526AF4-C389-4B0D-83DA-5BCC46931BF1}">
          <x14:formula1>
            <xm:f>Brains!$K$3:$K$16</xm:f>
          </x14:formula1>
          <xm:sqref>B65</xm:sqref>
        </x14:dataValidation>
        <x14:dataValidation type="list" allowBlank="1" showInputMessage="1" showErrorMessage="1" xr:uid="{BE85BEF2-262F-4CE7-9934-B50312C8E93F}">
          <x14:formula1>
            <xm:f>Brains!$B$3:$B$19</xm:f>
          </x14:formula1>
          <xm:sqref>B64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E022F-B144-4200-AAD7-330024346ECF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 t="s">
        <v>824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34200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5</v>
      </c>
      <c r="E4" s="114">
        <f>_xlfn.XLOOKUP(B4,Size[Size],Size[Base Slots],,,)</f>
        <v>16</v>
      </c>
      <c r="F4" s="37">
        <f>B4+O2</f>
        <v>17</v>
      </c>
      <c r="G4" s="168" t="s">
        <v>299</v>
      </c>
      <c r="H4" s="168"/>
      <c r="I4" s="169"/>
      <c r="J4" s="108">
        <f>_xlfn.XLOOKUP(B4,Size[Size],Size[Base hits],,,)</f>
        <v>20</v>
      </c>
      <c r="K4" s="170" t="s">
        <v>727</v>
      </c>
      <c r="L4" s="171"/>
      <c r="M4" s="52">
        <f>_xlfn.XLOOKUP(B4,Size[Size],Size[Basic Cost],,,)</f>
        <v>1000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/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10000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Basic Mechanic Droid</v>
      </c>
      <c r="S6" s="143">
        <f>M11</f>
        <v>20</v>
      </c>
      <c r="T6" s="143" t="str">
        <f>B5</f>
        <v>Walker</v>
      </c>
      <c r="U6" s="143" t="str">
        <f>_xlfn.CONCAT(J14," m")</f>
        <v>5 m</v>
      </c>
      <c r="V6" s="144">
        <f>O2</f>
        <v>12</v>
      </c>
      <c r="W6" s="147">
        <f>P91</f>
        <v>38000</v>
      </c>
      <c r="X6" s="151">
        <f>IF(I2="Standard Design",0.1,0)</f>
        <v>0.1</v>
      </c>
      <c r="Y6" s="152">
        <v>2</v>
      </c>
      <c r="Z6" s="147">
        <f>FLOOR(P91*(1-X6),100)</f>
        <v>34200</v>
      </c>
    </row>
    <row r="7" spans="1:26" ht="12" customHeight="1" x14ac:dyDescent="0.4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40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158" t="s">
        <v>90</v>
      </c>
      <c r="S7" s="239" t="str">
        <f>_xlfn.CONCAT(O9,O13,O19:O28,O30:O34,O36:O57,O64,O69:O71,O73:O90)</f>
        <v xml:space="preserve">Athletics (endurance) 1, Athletics (strength) 1, Athletics (strength) 1, Mechanic 1, Profession (robotics) 1, </v>
      </c>
      <c r="T7" s="240"/>
      <c r="U7" s="240"/>
      <c r="V7" s="240"/>
      <c r="W7" s="240"/>
      <c r="X7" s="240"/>
      <c r="Y7" s="240"/>
      <c r="Z7" s="241"/>
    </row>
    <row r="8" spans="1:26" ht="12" customHeight="1" x14ac:dyDescent="0.4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108</v>
      </c>
      <c r="K8" s="188" t="s">
        <v>64</v>
      </c>
      <c r="L8" s="189"/>
      <c r="M8" s="190"/>
      <c r="P8" s="136">
        <f>B8*0.5*P5</f>
        <v>0</v>
      </c>
      <c r="R8" s="115" t="s">
        <v>320</v>
      </c>
      <c r="S8" s="182" t="str">
        <f>_xlfn.CONCAT(A59," (",J59," ",N59,") ",A60," (",J60," ",N60,") ",A61," (",J61," ",N61,") ")</f>
        <v xml:space="preserve"> ( )  ( )  ( ) </v>
      </c>
      <c r="T8" s="183"/>
      <c r="U8" s="183"/>
      <c r="V8" s="183"/>
      <c r="W8" s="183"/>
      <c r="X8" s="183"/>
      <c r="Y8" s="183"/>
      <c r="Z8" s="184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-2</v>
      </c>
      <c r="F9" s="37"/>
      <c r="G9" s="179" t="s">
        <v>302</v>
      </c>
      <c r="H9" s="179"/>
      <c r="I9" s="180"/>
      <c r="J9" s="51">
        <f>J8*(1+B9)</f>
        <v>216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1000</v>
      </c>
      <c r="R9" s="115" t="s">
        <v>49</v>
      </c>
      <c r="S9" s="182" t="str">
        <f>IF(COUNT(B19:B26)=0,"none",_xlfn.CONCAT(COUNT(B19:B26), " X (STR ",H19," DEX ",L19,")"))</f>
        <v>2 X (STR 9 DEX 7)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8" t="s">
        <v>35</v>
      </c>
      <c r="S10" s="176" t="str">
        <f>IF(B15,_xlfn.CONCAT(ROUND(J9*(1-B14/10),IF(B4=0,1,0))," (",ROUND(J9*(1-B14/10)/(4+IF(B16="No",0,LEFT(B16,1))),0),")", " hours"),_xlfn.CONCAT(ROUND(J9*(1-B14/10),IF(B4=0,1,0))," hours"))</f>
        <v>216 hours</v>
      </c>
      <c r="T10" s="177"/>
      <c r="U10" s="177"/>
      <c r="V10" s="177"/>
      <c r="W10" s="177"/>
      <c r="X10" s="177"/>
      <c r="Y10" s="177"/>
      <c r="Z10" s="178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20</v>
      </c>
      <c r="N11" s="24"/>
      <c r="O11" s="24"/>
      <c r="P11" s="135">
        <f>_xlfn.XLOOKUP(B5,Locomotion[Locomotion],Locomotion[Cost X])*50*B11</f>
        <v>0</v>
      </c>
      <c r="R11" s="118" t="s">
        <v>25</v>
      </c>
      <c r="S11" s="176" t="str">
        <f>_xlfn.CONCAT(N7,N5,N4,N15:N17,N30:N34,N36:N57,N67,N69:N70)</f>
        <v xml:space="preserve">Armour (+4), ATV, (idle), 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5" t="s">
        <v>321</v>
      </c>
      <c r="S12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Advanced (INT 8)</v>
      </c>
      <c r="T12" s="183"/>
      <c r="U12" s="183"/>
      <c r="V12" s="183"/>
      <c r="W12" s="183"/>
      <c r="X12" s="183"/>
      <c r="Y12" s="183"/>
      <c r="Z12" s="184"/>
    </row>
    <row r="13" spans="1:26" ht="12" customHeight="1" x14ac:dyDescent="0.35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213" t="s">
        <v>475</v>
      </c>
      <c r="S13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(improved), Visual Spectrum Sensor, Voder Speaker, Wireless Data Link, Drone Interface, Electronics Toolkit (improved), Gecko Grippers, Industrial Cleaning Equipment (small), Mechanical Toolkit (basic), Quick Charger, Storage Compartment (standard), , , , , , , , , , , , , , </v>
      </c>
      <c r="T13" s="217"/>
      <c r="U13" s="217"/>
      <c r="V13" s="217"/>
      <c r="W13" s="217"/>
      <c r="X13" s="217"/>
      <c r="Y13" s="217"/>
      <c r="Z13" s="218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216 hours</v>
      </c>
      <c r="L14" s="5"/>
      <c r="M14" s="5"/>
      <c r="N14" s="5"/>
      <c r="P14" s="136">
        <f>B14*0.1*P5</f>
        <v>0</v>
      </c>
      <c r="R14" s="214"/>
      <c r="S14" s="216"/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5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</row>
    <row r="19" spans="1:26" ht="12" customHeight="1" x14ac:dyDescent="0.35">
      <c r="A19" s="92" t="s">
        <v>50</v>
      </c>
      <c r="B19" s="35">
        <v>5</v>
      </c>
      <c r="C19" s="60">
        <f t="shared" ref="C19:C26" si="0">IF(B19=0,0,B19*2-1)</f>
        <v>9</v>
      </c>
      <c r="D19" s="95">
        <f>ROUNDUP($O$2/2+1,0)</f>
        <v>7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18</v>
      </c>
      <c r="G19" s="16"/>
      <c r="H19" s="60">
        <f t="shared" ref="H19:H28" si="2">C19+G19</f>
        <v>9</v>
      </c>
      <c r="I19" s="61">
        <f t="shared" ref="I19:I28" si="3">IF(H19&gt;17,4,IF(H19&gt;14,3,IF(H19&gt;11,2,IF(H19&gt;8,1,IF(H19&gt;5,0,IF(H19&gt;2,-1,-2))))))</f>
        <v>1</v>
      </c>
      <c r="J19" s="53">
        <f t="shared" ref="J19:J28" si="4">$O$2+3</f>
        <v>15</v>
      </c>
      <c r="K19" s="16"/>
      <c r="L19" s="60">
        <f t="shared" ref="L19:L28" si="5">D19+K19</f>
        <v>7</v>
      </c>
      <c r="M19" s="61">
        <f>IF(L19&gt;20,5,IF(L19&gt;17,4,IF(L19&gt;14,3,IF(L19&gt;11,2,IF(L19&gt;8,1,IF(L19&gt;5,0,IF(L19&gt;2,-1,-2)))))))</f>
        <v>0</v>
      </c>
      <c r="O19" s="12" t="str">
        <f>IF(I19&gt;0,_xlfn.CONCAT("Athletics (strength) ",I19,", "),"")</f>
        <v xml:space="preserve">Athletics (strength) 1, </v>
      </c>
      <c r="P19" s="136">
        <f>IF((B19-$B$4)*100&gt;-0.2*$P$5,(B19-$B$4)*100,-0.2*$P$5)+B19*100*(G19)^2+B19*200*(K19)^2</f>
        <v>0</v>
      </c>
      <c r="R19" s="7" t="s">
        <v>798</v>
      </c>
    </row>
    <row r="20" spans="1:26" ht="12" customHeight="1" x14ac:dyDescent="0.35">
      <c r="A20" s="92" t="s">
        <v>51</v>
      </c>
      <c r="B20" s="35">
        <v>5</v>
      </c>
      <c r="C20" s="6">
        <f t="shared" si="0"/>
        <v>9</v>
      </c>
      <c r="D20" s="96">
        <f t="shared" ref="D20:D26" si="6">IF(B20=0,0,ROUNDUP($O$2/2+1,0))</f>
        <v>7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18</v>
      </c>
      <c r="G20" s="16"/>
      <c r="H20" s="6">
        <f t="shared" si="2"/>
        <v>9</v>
      </c>
      <c r="I20" s="21">
        <f t="shared" si="3"/>
        <v>1</v>
      </c>
      <c r="J20" s="53">
        <f t="shared" si="4"/>
        <v>15</v>
      </c>
      <c r="K20" s="16"/>
      <c r="L20" s="6">
        <f t="shared" si="5"/>
        <v>7</v>
      </c>
      <c r="M20" s="61">
        <f t="shared" ref="M20:M28" si="7">IF(L20&gt;20,5,IF(L20&gt;17,4,IF(L20&gt;14,3,IF(L20&gt;11,2,IF(L20&gt;8,1,IF(L20&gt;5,0,IF(L20&gt;2,-1,-2)))))))</f>
        <v>0</v>
      </c>
      <c r="O20" s="12" t="str">
        <f t="shared" ref="O20:O28" si="8">IF(I20&gt;0,_xlfn.CONCAT("Athletics (strength) ",I20,", "),"")</f>
        <v xml:space="preserve">Athletics (strength) 1, </v>
      </c>
      <c r="P20" s="136">
        <f>IF((B20-$B$4)*100&gt;-0.2*$P$5,(B20-$B$4)*100,-0.2*$P$5)+B20*100*(G20)^2+B20*200*(K20)^2</f>
        <v>0</v>
      </c>
      <c r="R20" s="200"/>
      <c r="S20" s="201"/>
      <c r="T20" s="201"/>
      <c r="U20" s="201"/>
      <c r="V20" s="201"/>
      <c r="W20" s="201"/>
      <c r="X20" s="201"/>
      <c r="Y20" s="201"/>
      <c r="Z20" s="202"/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15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3"/>
      <c r="S21" s="204"/>
      <c r="T21" s="204"/>
      <c r="U21" s="204"/>
      <c r="V21" s="204"/>
      <c r="W21" s="204"/>
      <c r="X21" s="204"/>
      <c r="Y21" s="204"/>
      <c r="Z21" s="205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15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15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15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15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15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15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15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464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8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260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1 max skill</v>
      </c>
      <c r="I37" s="194"/>
      <c r="J37" s="194"/>
      <c r="K37" s="43">
        <f>_xlfn.XLOOKUP(A37,OptionsTable[Name],OptionsTable[TL],,,)</f>
        <v>8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4000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291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0</v>
      </c>
      <c r="F38" s="37">
        <f>IF(_xlfn.XLOOKUP(A38,OptionsTable[Name],OptionsTable[xS],,,)=FALSE,1,IF($B$4&gt;0,$E$4,1))</f>
        <v>16</v>
      </c>
      <c r="G38" s="57"/>
      <c r="H38" s="193" t="str">
        <f>IF(_xlfn.XLOOKUP(A38,OptionsTable[Name],OptionsTable[Notes],,,)="","",_xlfn.XLOOKUP(A38,OptionsTable[Name],OptionsTable[Notes],,,))</f>
        <v/>
      </c>
      <c r="I38" s="194"/>
      <c r="J38" s="194"/>
      <c r="K38" s="43">
        <f>_xlfn.XLOOKUP(A38,OptionsTable[Name],OptionsTable[TL],,,)</f>
        <v>9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8000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426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-2</v>
      </c>
      <c r="F39" s="37">
        <f>IF(_xlfn.XLOOKUP(A39,OptionsTable[Name],OptionsTable[xS],,,)=FALSE,1,IF($B$4&gt;0,$E$4,1))</f>
        <v>1</v>
      </c>
      <c r="G39" s="57"/>
      <c r="H39" s="193" t="str">
        <f>IF(_xlfn.XLOOKUP(A39,OptionsTable[Name],OptionsTable[Notes],,,)="","",_xlfn.XLOOKUP(A39,OptionsTable[Name],OptionsTable[Notes],,,))</f>
        <v>10 m^2 / hour</v>
      </c>
      <c r="I39" s="194"/>
      <c r="J39" s="194"/>
      <c r="K39" s="43">
        <f>_xlfn.XLOOKUP(A39,OptionsTable[Name],OptionsTable[TL],,,)</f>
        <v>5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500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267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-6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4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1000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 t="s">
        <v>641</v>
      </c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-1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>1 hour recharge</v>
      </c>
      <c r="I41" s="194"/>
      <c r="J41" s="194"/>
      <c r="K41" s="43">
        <f>_xlfn.XLOOKUP(A41,OptionsTable[Name],OptionsTable[TL],,,)</f>
        <v>8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200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 t="s">
        <v>471</v>
      </c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-4</v>
      </c>
      <c r="F42" s="37">
        <f>IF(_xlfn.XLOOKUP(A42,OptionsTable[Name],OptionsTable[xS],,,)=FALSE,1,IF($B$4&gt;0,$E$4,1))</f>
        <v>1</v>
      </c>
      <c r="G42" s="57">
        <v>4</v>
      </c>
      <c r="H42" s="193" t="str">
        <f>IF(_xlfn.XLOOKUP(A42,OptionsTable[Name],OptionsTable[Notes],,,)="","",_xlfn.XLOOKUP(A42,OptionsTable[Name],OptionsTable[Notes],,,))</f>
        <v>2 kg or litres / slot</v>
      </c>
      <c r="I42" s="194"/>
      <c r="J42" s="194"/>
      <c r="K42" s="43">
        <f>_xlfn.XLOOKUP(A42,OptionsTable[Name],OptionsTable[TL],,,)</f>
        <v>6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200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/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>
        <v>0</v>
      </c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80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8</v>
      </c>
      <c r="I64" s="31">
        <f>IF(H64&gt;17,4,IF(H64&gt;14,3,IF(H64&gt;11,2,IF(H64&gt;8,1,IF(H64&gt;5,0,IF(H64&gt;2,-1,-2))))))</f>
        <v>0</v>
      </c>
      <c r="J64" s="1">
        <f>_xlfn.XLOOKUP(B64,Brains[Programming/Control],Brains[Computer/X],,,)</f>
        <v>2</v>
      </c>
      <c r="K64" s="43">
        <f>_xlfn.XLOOKUP(B64,Brains[Programming/Control],Brains[TL],,,)</f>
        <v>12</v>
      </c>
      <c r="L64">
        <f>_xlfn.XLOOKUP(B64,Brains[Programming/Control],Brains[Computer/X],,,)</f>
        <v>2</v>
      </c>
      <c r="M64" s="12" t="str">
        <f>_xlfn.XLOOKUP(B64,Brains[Programming/Control],Brains[Base capability (built-in no bandwidth, cumulative)],,,)</f>
        <v>Intelligent Interface, Expert/1, Security/1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26</v>
      </c>
      <c r="C65" s="192"/>
      <c r="D65" s="192"/>
      <c r="E65" s="39">
        <f>-_xlfn.XLOOKUP(B65,Bandwidth[Minimum Base Brain],Bandwidth[Slots],,,)</f>
        <v>0</v>
      </c>
      <c r="F65" s="37"/>
      <c r="K65" s="43">
        <f>_xlfn.XLOOKUP(B65,Bandwidth[Minimum Base Brain],Bandwidth[TL],,,)</f>
        <v>0</v>
      </c>
      <c r="L65">
        <f>_xlfn.XLOOKUP(B65,Bandwidth[Minimum Base Brain],Bandwidth[Bandwidth],,,)+L64</f>
        <v>2</v>
      </c>
      <c r="M65" t="s">
        <v>310</v>
      </c>
      <c r="P65" s="136">
        <f>_xlfn.XLOOKUP(B65,Bandwidth[Minimum Base Brain],Bandwidth[Cost],,,)</f>
        <v>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8</v>
      </c>
      <c r="I66" s="15">
        <f>IF(H66&gt;17,4,IF(H66&gt;14,3,IF(H66&gt;11,2,IF(H66&gt;8,1,IF(H66&gt;5,0,IF(H66&gt;2,-1,-2))))))</f>
        <v>0</v>
      </c>
      <c r="K66" s="43"/>
      <c r="L66" s="55">
        <f>L65+F66</f>
        <v>2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2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30" t="s">
        <v>130</v>
      </c>
      <c r="B73" s="153"/>
      <c r="C73" s="154"/>
      <c r="D73" s="57">
        <v>1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1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9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Mechanic 1, </v>
      </c>
      <c r="P73" s="138">
        <f>IF(AND(A73="Science ()",B73="all",D73&gt;0),(_xlfn.XLOOKUP(A73,StandardBrain[Name],StandardBrain[Cr],,,)*10^(D73))*8,IF(AND(B73="all",D73&gt;0),(_xlfn.XLOOKUP(A73,StandardBrain[Name],StandardBrain[Cr],,,)*10^(D73))*4,IF(A73="N/A",0,_xlfn.XLOOKUP(A73,StandardBrain[Name],StandardBrain[Cr],,,)*10^(D73))))</f>
        <v>1000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135</v>
      </c>
      <c r="B74" s="193" t="s">
        <v>802</v>
      </c>
      <c r="C74" s="227"/>
      <c r="D74" s="57">
        <v>1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1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10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Profession (robotics) 1, </v>
      </c>
      <c r="P74" s="138">
        <f>IF(AND(A74="Science ()",B74="all",D74&gt;0),(_xlfn.XLOOKUP(A74,StandardBrain[Name],StandardBrain[Cr],,,)*10^(D74))*8,IF(AND(B74="all",D74&gt;0),(_xlfn.XLOOKUP(A74,StandardBrain[Name],StandardBrain[Cr],,,)*10^(D74))*4,IF(A74="N/A",0,_xlfn.XLOOKUP(A74,StandardBrain[Name],StandardBrain[Cr],,,)*10^(D74))))</f>
        <v>2000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117</v>
      </c>
      <c r="B75" s="193"/>
      <c r="C75" s="227"/>
      <c r="D75" s="57"/>
      <c r="E75" s="39"/>
      <c r="G75" s="59" t="str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/>
      </c>
      <c r="I75" s="58" t="str">
        <f>_xlfn.XLOOKUP(A75,StandardBrain[Name],StandardBrain[Characteristic],,,)</f>
        <v xml:space="preserve"> </v>
      </c>
      <c r="K75" s="43">
        <f>_xlfn.XLOOKUP(A75,StandardBrain[Name],StandardBrain[TL],,,)+D75</f>
        <v>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/>
      </c>
      <c r="P75" s="138">
        <f>IF(AND(A75="Science ()",B75="all",D75&gt;0),(_xlfn.XLOOKUP(A75,StandardBrain[Name],StandardBrain[Cr],,,)*10^(D75))*8,IF(AND(B75="all",D75&gt;0),(_xlfn.XLOOKUP(A75,StandardBrain[Name],StandardBrain[Cr],,,)*10^(D75))*4,IF(A75="N/A",0,_xlfn.XLOOKUP(A75,StandardBrain[Name],StandardBrain[Cr],,,)*10^(D75))))</f>
        <v>0</v>
      </c>
      <c r="R75" s="206"/>
      <c r="S75" s="207"/>
      <c r="T75" s="207"/>
      <c r="U75" s="207"/>
      <c r="V75" s="207"/>
      <c r="W75" s="207"/>
      <c r="X75" s="207"/>
      <c r="Y75" s="207"/>
      <c r="Z75" s="208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,D76&gt;0),(_xlfn.XLOOKUP(A76,StandardBrain[Name],StandardBrain[Cr],,,)*10^(D76))*8,IF(AND(B76="all",D76&gt;0),(_xlfn.XLOOKUP(A76,StandardBrain[Name],StandardBrain[Cr],,,)*10^(D76))*4,IF(A76="N/A",0,_xlfn.XLOOKUP(A76,StandardBrain[Name],StandardBrain[Cr],,,)*10^(D76))))</f>
        <v>0</v>
      </c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,D77&gt;0),(_xlfn.XLOOKUP(A77,StandardBrain[Name],StandardBrain[Cr],,,)*10^(D77))*8,IF(AND(B77="all",D77&gt;0)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,D78&gt;0),(_xlfn.XLOOKUP(A78,StandardBrain[Name],StandardBrain[Cr],,,)*10^(D78))*8,IF(AND(B78="all",D78&gt;0)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,D79&gt;0),(_xlfn.XLOOKUP(A79,StandardBrain[Name],StandardBrain[Cr],,,)*10^(D79))*8,IF(AND(B79="all",D79&gt;0)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,D80&gt;0),(_xlfn.XLOOKUP(A80,StandardBrain[Name],StandardBrain[Cr],,,)*10^(D80))*8,IF(AND(B80="all",D80&gt;0)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,D81&gt;0),(_xlfn.XLOOKUP(A81,StandardBrain[Name],StandardBrain[Cr],,,)*10^(D81))*8,IF(AND(B81="all",D81&gt;0)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,D82&gt;0),(_xlfn.XLOOKUP(A82,StandardBrain[Name],StandardBrain[Cr],,,)*10^(D82))*8,IF(AND(B82="all",D82&gt;0)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,D83&gt;0),(_xlfn.XLOOKUP(A83,StandardBrain[Name],StandardBrain[Cr],,,)*10^(D83))*8,IF(AND(B83="all",D83&gt;0)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,D84&gt;0),(_xlfn.XLOOKUP(A84,StandardBrain[Name],StandardBrain[Cr],,,)*10^(D84))*8,IF(AND(B84="all",D84&gt;0)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,D85&gt;0),(_xlfn.XLOOKUP(A85,StandardBrain[Name],StandardBrain[Cr],,,)*10^(D85))*8,IF(AND(B85="all",D85&gt;0)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,D86&gt;0),(_xlfn.XLOOKUP(A86,StandardBrain[Name],StandardBrain[Cr],,,)*10^(D86))*8,IF(AND(B86="all",D86&gt;0)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,D87&gt;0),(_xlfn.XLOOKUP(A87,StandardBrain[Name],StandardBrain[Cr],,,)*10^(D87))*8,IF(AND(B87="all",D87&gt;0)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,D88&gt;0),(_xlfn.XLOOKUP(A88,StandardBrain[Name],StandardBrain[Cr],,,)*10^(D88))*8,IF(AND(B88="all",D88&gt;0)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,D89&gt;0),(_xlfn.XLOOKUP(A89,StandardBrain[Name],StandardBrain[Cr],,,)*10^(D89))*8,IF(AND(B89="all",D89&gt;0)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,D90&gt;0),(_xlfn.XLOOKUP(A90,StandardBrain[Name],StandardBrain[Cr],,,)*10^(D90))*8,IF(AND(B90="all",D90&gt;0)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38000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34200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2">
    <sortCondition ref="A36:A42"/>
  </sortState>
  <dataConsolidate/>
  <mergeCells count="112"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4:D64"/>
    <mergeCell ref="B65:D65"/>
    <mergeCell ref="B69:D69"/>
    <mergeCell ref="B70:D70"/>
    <mergeCell ref="B71:D71"/>
    <mergeCell ref="A59:D59"/>
    <mergeCell ref="H59:I59"/>
    <mergeCell ref="A60:D60"/>
    <mergeCell ref="H60:I60"/>
    <mergeCell ref="A61:D61"/>
    <mergeCell ref="H61:I61"/>
    <mergeCell ref="A55:D55"/>
    <mergeCell ref="H55:J55"/>
    <mergeCell ref="A56:D56"/>
    <mergeCell ref="H56:J56"/>
    <mergeCell ref="A57:D57"/>
    <mergeCell ref="H57:J57"/>
    <mergeCell ref="A52:D52"/>
    <mergeCell ref="H52:J52"/>
    <mergeCell ref="A53:D53"/>
    <mergeCell ref="H53:J53"/>
    <mergeCell ref="A54:D54"/>
    <mergeCell ref="H54:J54"/>
    <mergeCell ref="A49:D49"/>
    <mergeCell ref="H49:J49"/>
    <mergeCell ref="A50:D50"/>
    <mergeCell ref="H50:J50"/>
    <mergeCell ref="A51:D51"/>
    <mergeCell ref="H51:J51"/>
    <mergeCell ref="A38:D38"/>
    <mergeCell ref="H38:J38"/>
    <mergeCell ref="A39:D39"/>
    <mergeCell ref="H39:J39"/>
    <mergeCell ref="A46:D46"/>
    <mergeCell ref="H46:J46"/>
    <mergeCell ref="A47:D47"/>
    <mergeCell ref="H47:J47"/>
    <mergeCell ref="A48:D48"/>
    <mergeCell ref="H48:J48"/>
    <mergeCell ref="A43:D43"/>
    <mergeCell ref="H43:J43"/>
    <mergeCell ref="A44:D44"/>
    <mergeCell ref="H44:J44"/>
    <mergeCell ref="A45:D45"/>
    <mergeCell ref="H45:J45"/>
    <mergeCell ref="H33:J33"/>
    <mergeCell ref="A34:D34"/>
    <mergeCell ref="H34:J34"/>
    <mergeCell ref="H35:J35"/>
    <mergeCell ref="A36:D36"/>
    <mergeCell ref="H36:J36"/>
    <mergeCell ref="R20:Z75"/>
    <mergeCell ref="B29:D29"/>
    <mergeCell ref="H29:J29"/>
    <mergeCell ref="A30:D30"/>
    <mergeCell ref="H30:J30"/>
    <mergeCell ref="A31:D31"/>
    <mergeCell ref="H31:J31"/>
    <mergeCell ref="A32:D32"/>
    <mergeCell ref="H32:J32"/>
    <mergeCell ref="A33:D33"/>
    <mergeCell ref="A40:D40"/>
    <mergeCell ref="H40:J40"/>
    <mergeCell ref="A41:D41"/>
    <mergeCell ref="H41:J41"/>
    <mergeCell ref="A42:D42"/>
    <mergeCell ref="H42:J42"/>
    <mergeCell ref="A37:D37"/>
    <mergeCell ref="H37:J37"/>
    <mergeCell ref="G11:H11"/>
    <mergeCell ref="K11:L11"/>
    <mergeCell ref="S11:Z11"/>
    <mergeCell ref="G12:O12"/>
    <mergeCell ref="S12:Z12"/>
    <mergeCell ref="R13:R17"/>
    <mergeCell ref="S13:Z17"/>
    <mergeCell ref="G9:I9"/>
    <mergeCell ref="K9:M9"/>
    <mergeCell ref="S9:Z9"/>
    <mergeCell ref="G10:H10"/>
    <mergeCell ref="K10:M10"/>
    <mergeCell ref="S10:Z10"/>
    <mergeCell ref="G5:I5"/>
    <mergeCell ref="H6:N6"/>
    <mergeCell ref="G7:I7"/>
    <mergeCell ref="S7:Z7"/>
    <mergeCell ref="G8:I8"/>
    <mergeCell ref="K8:M8"/>
    <mergeCell ref="S8:Z8"/>
    <mergeCell ref="B2:D2"/>
    <mergeCell ref="F2:H2"/>
    <mergeCell ref="I2:M2"/>
    <mergeCell ref="G3:J3"/>
    <mergeCell ref="G4:I4"/>
    <mergeCell ref="K4:L4"/>
  </mergeCells>
  <conditionalFormatting sqref="B14">
    <cfRule type="expression" dxfId="107" priority="6">
      <formula>ABS($J$14-6) &gt; 6</formula>
    </cfRule>
  </conditionalFormatting>
  <conditionalFormatting sqref="E2">
    <cfRule type="expression" dxfId="106" priority="4">
      <formula>$E$2&lt;0</formula>
    </cfRule>
  </conditionalFormatting>
  <conditionalFormatting sqref="E15:E17">
    <cfRule type="expression" dxfId="105" priority="1">
      <formula>AND($B$4=0,E15&lt;0)</formula>
    </cfRule>
  </conditionalFormatting>
  <conditionalFormatting sqref="K5 K30:K34 K36:K57 K59:K61 K64:K67 K73:K90">
    <cfRule type="expression" dxfId="104" priority="5">
      <formula>K5&gt;$O$2</formula>
    </cfRule>
  </conditionalFormatting>
  <conditionalFormatting sqref="L57">
    <cfRule type="expression" dxfId="103" priority="2">
      <formula>L57&gt;$O$2</formula>
    </cfRule>
  </conditionalFormatting>
  <conditionalFormatting sqref="L67">
    <cfRule type="expression" dxfId="102" priority="3">
      <formula>L67&lt;0</formula>
    </cfRule>
  </conditionalFormatting>
  <dataValidations count="20">
    <dataValidation type="whole" allowBlank="1" showInputMessage="1" showErrorMessage="1" error="Total Armour cannot exceed Maximum" sqref="B7" xr:uid="{FC592036-EC3C-476A-9FD3-5A703ED56022}">
      <formula1>-1</formula1>
      <formula2>L7-MID(A7,18,1)</formula2>
    </dataValidation>
    <dataValidation type="whole" allowBlank="1" showInputMessage="1" showErrorMessage="1" error="Max DEX = TL+3" sqref="K19:K28" xr:uid="{718A6341-030F-4A92-A7A0-BA3DAE00EFB4}">
      <formula1>0</formula1>
      <formula2>J19-D19</formula2>
    </dataValidation>
    <dataValidation type="whole" allowBlank="1" showInputMessage="1" showErrorMessage="1" error="Max STR = Lesser of Size + TL or SIZE X 4" sqref="G19:G28" xr:uid="{49489C00-66F2-47F9-9539-7C3CD35422FC}">
      <formula1>0</formula1>
      <formula2>F19-C19</formula2>
    </dataValidation>
    <dataValidation type="whole" allowBlank="1" showInputMessage="1" showErrorMessage="1" sqref="E13:E14" xr:uid="{8AE2BE06-EACB-421D-A872-AF9839429C81}">
      <formula1>0</formula1>
      <formula2>#REF!/2</formula2>
    </dataValidation>
    <dataValidation type="whole" allowBlank="1" showInputMessage="1" showErrorMessage="1" sqref="C14:D14" xr:uid="{FAE5BEED-8FF3-49B2-A888-555CD1632F2D}">
      <formula1>0</formula1>
      <formula2>D15/2</formula2>
    </dataValidation>
    <dataValidation type="whole" allowBlank="1" showInputMessage="1" showErrorMessage="1" sqref="C13:D13" xr:uid="{2C365F07-1D3C-4184-A7F9-EFD9A140175C}">
      <formula1>0</formula1>
      <formula2>D5/2</formula2>
    </dataValidation>
    <dataValidation type="whole" allowBlank="1" showInputMessage="1" showErrorMessage="1" sqref="C11:D11" xr:uid="{43EFF709-CCEF-4816-8130-E26CBBB6911E}">
      <formula1>0</formula1>
      <formula2>D4/2</formula2>
    </dataValidation>
    <dataValidation type="whole" allowBlank="1" showInputMessage="1" showErrorMessage="1" error="Must be whole number between -6 and +12" sqref="B14" xr:uid="{43B0DE29-58F4-4856-AB15-3DC4FAA5B86D}">
      <formula1>-6</formula1>
      <formula2>12</formula2>
    </dataValidation>
    <dataValidation type="list" allowBlank="1" showInputMessage="1" showErrorMessage="1" sqref="B16" xr:uid="{98D3B6F4-CA42-48E3-B447-8D530736B746}">
      <formula1>"No,1X,2X,3X"</formula1>
    </dataValidation>
    <dataValidation type="list" allowBlank="1" showInputMessage="1" showErrorMessage="1" sqref="B15" xr:uid="{49A22103-4B3C-4A1F-987E-69675A1219A6}">
      <formula1>"FALSE,TRUE"</formula1>
    </dataValidation>
    <dataValidation type="list" allowBlank="1" showInputMessage="1" showErrorMessage="1" sqref="B66 D73:D90" xr:uid="{B74C300B-7D4D-4452-9386-99982E8A5E00}">
      <formula1>"0,1,2,3"</formula1>
    </dataValidation>
    <dataValidation type="list" allowBlank="1" showInputMessage="1" showErrorMessage="1" sqref="B13" xr:uid="{7787BAC5-03AA-4D74-8808-F2D861551629}">
      <formula1>"0,1,2,3,4"</formula1>
    </dataValidation>
    <dataValidation type="list" allowBlank="1" showInputMessage="1" showErrorMessage="1" sqref="B27:B28 B67 B8" xr:uid="{BCA05BA6-A2CF-42FC-9EFD-077150DA6E9C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F11C3A08-E55B-4AB0-8352-6CE9B2B059C0}">
      <formula1>0</formula1>
      <formula2>$B$4+2</formula2>
    </dataValidation>
    <dataValidation type="list" allowBlank="1" showInputMessage="1" showErrorMessage="1" sqref="O2" xr:uid="{4C40D6DB-D1F3-4EEC-B0A6-FA1B8B50ED0B}">
      <formula1>"7,8,9,10,11,12,13,14,15,16,17,18"</formula1>
    </dataValidation>
    <dataValidation type="list" allowBlank="1" showInputMessage="1" showErrorMessage="1" sqref="B4" xr:uid="{D84766C7-8F31-44BD-945A-5153245DA639}">
      <formula1>"0,1,2,3,4,5,6,7,8"</formula1>
    </dataValidation>
    <dataValidation type="list" allowBlank="1" showInputMessage="1" showErrorMessage="1" error="Maximum = 3" sqref="B9" xr:uid="{A829E8C0-0CD5-484D-B317-B901E2CD79E8}">
      <formula1>"0,1,2,3"</formula1>
    </dataValidation>
    <dataValidation type="whole" allowBlank="1" showInputMessage="1" showErrorMessage="1" sqref="E11" xr:uid="{352BCF1D-96F8-4DDA-A6D3-0034B94E04CD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E06F3595-A5FA-47E8-B985-31B4FC7D72DA}">
      <formula1>0</formula1>
      <formula2>E4/2</formula2>
    </dataValidation>
    <dataValidation type="whole" allowBlank="1" showInputMessage="1" showErrorMessage="1" error="Must be a negative number no less than a 50% of the base hits" sqref="B11" xr:uid="{158ED13F-E90D-4320-9B96-7E7469CF886A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F031930-292A-41B4-AC1D-B7E55AFD4949}">
          <x14:formula1>
            <xm:f>Brains!$B$3:$B$19</xm:f>
          </x14:formula1>
          <xm:sqref>B64</xm:sqref>
        </x14:dataValidation>
        <x14:dataValidation type="list" allowBlank="1" showInputMessage="1" showErrorMessage="1" xr:uid="{215DAE51-AA01-4C3F-B631-096B270AD323}">
          <x14:formula1>
            <xm:f>Brains!$K$3:$K$16</xm:f>
          </x14:formula1>
          <xm:sqref>B65</xm:sqref>
        </x14:dataValidation>
        <x14:dataValidation type="list" allowBlank="1" showInputMessage="1" showErrorMessage="1" xr:uid="{E40D9BBC-6D6B-4855-8BB1-8806B18BEF8E}">
          <x14:formula1>
            <xm:f>Packages!$B$29:$B$68</xm:f>
          </x14:formula1>
          <xm:sqref>A73:A90</xm:sqref>
        </x14:dataValidation>
        <x14:dataValidation type="list" allowBlank="1" showInputMessage="1" showErrorMessage="1" xr:uid="{98F976E9-B0BE-4F1F-B732-DE30312B3E61}">
          <x14:formula1>
            <xm:f>Options!$C$9:$C$251</xm:f>
          </x14:formula1>
          <xm:sqref>A36:A56</xm:sqref>
        </x14:dataValidation>
        <x14:dataValidation type="list" allowBlank="1" showInputMessage="1" showErrorMessage="1" xr:uid="{CDD6240E-6574-4435-8FF2-24B977E41A94}">
          <x14:formula1>
            <xm:f>Packages!$B$23:$B$25</xm:f>
          </x14:formula1>
          <xm:sqref>B71</xm:sqref>
        </x14:dataValidation>
        <x14:dataValidation type="list" allowBlank="1" showInputMessage="1" showErrorMessage="1" xr:uid="{FB1B468D-27D6-4C16-9A8B-D1D3871A2309}">
          <x14:formula1>
            <xm:f>Packages!$B$3:$B$7</xm:f>
          </x14:formula1>
          <xm:sqref>B69</xm:sqref>
        </x14:dataValidation>
        <x14:dataValidation type="list" allowBlank="1" showInputMessage="1" showErrorMessage="1" xr:uid="{23AFB26B-02A4-4C4B-BDA8-3086DB2204DD}">
          <x14:formula1>
            <xm:f>Packages!$B$11:$B$19</xm:f>
          </x14:formula1>
          <xm:sqref>B70</xm:sqref>
        </x14:dataValidation>
        <x14:dataValidation type="list" allowBlank="1" showInputMessage="1" showErrorMessage="1" xr:uid="{C5F51E19-9140-4981-BD22-B2F9FB287FFB}">
          <x14:formula1>
            <xm:f>Chassis!$H$3:$H$13</xm:f>
          </x14:formula1>
          <xm:sqref>B17 B5</xm:sqref>
        </x14:dataValidation>
        <x14:dataValidation type="list" allowBlank="1" showInputMessage="1" showErrorMessage="1" xr:uid="{C976A72F-51D0-47ED-B4AF-CA8F6F57CB9C}">
          <x14:formula1>
            <xm:f>Options!$C$9:$C$71</xm:f>
          </x14:formula1>
          <xm:sqref>A30:A34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0267-1743-4219-87DA-35ACD7853D5D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 t="s">
        <v>825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54800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5</v>
      </c>
      <c r="E4" s="114">
        <f>_xlfn.XLOOKUP(B4,Size[Size],Size[Base Slots],,,)</f>
        <v>16</v>
      </c>
      <c r="F4" s="37">
        <f>B4+O2</f>
        <v>17</v>
      </c>
      <c r="G4" s="168" t="s">
        <v>299</v>
      </c>
      <c r="H4" s="168"/>
      <c r="I4" s="169"/>
      <c r="J4" s="108">
        <f>_xlfn.XLOOKUP(B4,Size[Size],Size[Base hits],,,)</f>
        <v>20</v>
      </c>
      <c r="K4" s="170" t="s">
        <v>727</v>
      </c>
      <c r="L4" s="171"/>
      <c r="M4" s="52">
        <f>_xlfn.XLOOKUP(B4,Size[Size],Size[Basic Cost],,,)</f>
        <v>1000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/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10000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Improved Mechanic Droid</v>
      </c>
      <c r="S6" s="143">
        <f>M11</f>
        <v>20</v>
      </c>
      <c r="T6" s="143" t="str">
        <f>B5</f>
        <v>Walker</v>
      </c>
      <c r="U6" s="143" t="str">
        <f>_xlfn.CONCAT(J14," m")</f>
        <v>5 m</v>
      </c>
      <c r="V6" s="144">
        <f>O2</f>
        <v>12</v>
      </c>
      <c r="W6" s="147">
        <f>P91</f>
        <v>60950</v>
      </c>
      <c r="X6" s="151">
        <f>IF(I2="Standard Design",0.1,0)</f>
        <v>0.1</v>
      </c>
      <c r="Y6" s="152">
        <v>2</v>
      </c>
      <c r="Z6" s="147">
        <f>FLOOR(P91*(1-X6),100)</f>
        <v>54800</v>
      </c>
    </row>
    <row r="7" spans="1:26" ht="12" customHeight="1" x14ac:dyDescent="0.4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40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158" t="s">
        <v>90</v>
      </c>
      <c r="S7" s="182" t="str">
        <f>_xlfn.CONCAT(O9,O13,O19:O28,O30:O34,O36:O57,O64,O69:O71,O73:O90)</f>
        <v xml:space="preserve">Athletics (endurance) 1, Athletics (strength) 1, Athletics (strength) 1, Mechanic 3, Profession (robotics) 2, </v>
      </c>
      <c r="T7" s="183"/>
      <c r="U7" s="183"/>
      <c r="V7" s="183"/>
      <c r="W7" s="183"/>
      <c r="X7" s="183"/>
      <c r="Y7" s="183"/>
      <c r="Z7" s="184"/>
    </row>
    <row r="8" spans="1:26" ht="12" customHeight="1" x14ac:dyDescent="0.4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108</v>
      </c>
      <c r="K8" s="188" t="s">
        <v>64</v>
      </c>
      <c r="L8" s="189"/>
      <c r="M8" s="190"/>
      <c r="P8" s="136">
        <f>B8*0.5*P5</f>
        <v>0</v>
      </c>
      <c r="R8" s="115" t="s">
        <v>320</v>
      </c>
      <c r="S8" s="182" t="str">
        <f>_xlfn.CONCAT(A59," (",J59," ",N59,") ",A60," (",J60," ",N60,") ",A61," (",J61," ",N61,") ")</f>
        <v xml:space="preserve"> ( )  ( )  ( ) </v>
      </c>
      <c r="T8" s="183"/>
      <c r="U8" s="183"/>
      <c r="V8" s="183"/>
      <c r="W8" s="183"/>
      <c r="X8" s="183"/>
      <c r="Y8" s="183"/>
      <c r="Z8" s="184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-2</v>
      </c>
      <c r="F9" s="37"/>
      <c r="G9" s="179" t="s">
        <v>302</v>
      </c>
      <c r="H9" s="179"/>
      <c r="I9" s="180"/>
      <c r="J9" s="51">
        <f>J8*(1+B9)</f>
        <v>216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1000</v>
      </c>
      <c r="R9" s="115" t="s">
        <v>49</v>
      </c>
      <c r="S9" s="182" t="str">
        <f>IF(COUNT(B19:B26)=0,"none",_xlfn.CONCAT(COUNT(B19:B26), " X (STR ",H19," DEX ",L19,")"))</f>
        <v>2 X (STR 9 DEX 7)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8" t="s">
        <v>35</v>
      </c>
      <c r="S10" s="176" t="str">
        <f>IF(B15,_xlfn.CONCAT(ROUND(J9*(1-B14/10),IF(B4=0,1,0))," (",ROUND(J9*(1-B14/10)/(4+IF(B16="No",0,LEFT(B16,1))),0),")", " hours"),_xlfn.CONCAT(ROUND(J9*(1-B14/10),IF(B4=0,1,0))," hours"))</f>
        <v>216 hours</v>
      </c>
      <c r="T10" s="177"/>
      <c r="U10" s="177"/>
      <c r="V10" s="177"/>
      <c r="W10" s="177"/>
      <c r="X10" s="177"/>
      <c r="Y10" s="177"/>
      <c r="Z10" s="178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20</v>
      </c>
      <c r="N11" s="24"/>
      <c r="O11" s="24"/>
      <c r="P11" s="135">
        <f>_xlfn.XLOOKUP(B5,Locomotion[Locomotion],Locomotion[Cost X])*50*B11</f>
        <v>0</v>
      </c>
      <c r="R11" s="118" t="s">
        <v>25</v>
      </c>
      <c r="S11" s="176" t="str">
        <f>_xlfn.CONCAT(N7,N5,N4,N15:N17,N30:N34,N36:N57,N67,N69:N70)</f>
        <v xml:space="preserve">Armour (+4), ATV, (idle), 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5" t="s">
        <v>321</v>
      </c>
      <c r="S12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Advanced (INT 9)</v>
      </c>
      <c r="T12" s="183"/>
      <c r="U12" s="183"/>
      <c r="V12" s="183"/>
      <c r="W12" s="183"/>
      <c r="X12" s="183"/>
      <c r="Y12" s="183"/>
      <c r="Z12" s="184"/>
    </row>
    <row r="13" spans="1:26" ht="12" customHeight="1" x14ac:dyDescent="0.35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213" t="s">
        <v>475</v>
      </c>
      <c r="S13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(improved), Visual Spectrum Sensor, Voder Speaker, Wireless Data Link, Drone Interface, Electronics Toolkit (improved), Gecko Grippers, Industrial Cleaning Equipment (small), Mechanical Toolkit (basic), Quick Charger, Storage Compartment (standard), , , , , , , , , , , , , , </v>
      </c>
      <c r="T13" s="217"/>
      <c r="U13" s="217"/>
      <c r="V13" s="217"/>
      <c r="W13" s="217"/>
      <c r="X13" s="217"/>
      <c r="Y13" s="217"/>
      <c r="Z13" s="218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216 hours</v>
      </c>
      <c r="L14" s="5"/>
      <c r="M14" s="5"/>
      <c r="N14" s="5"/>
      <c r="P14" s="136">
        <f>B14*0.1*P5</f>
        <v>0</v>
      </c>
      <c r="R14" s="214"/>
      <c r="S14" s="216"/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5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</row>
    <row r="19" spans="1:26" ht="12" customHeight="1" x14ac:dyDescent="0.35">
      <c r="A19" s="92" t="s">
        <v>50</v>
      </c>
      <c r="B19" s="35">
        <v>5</v>
      </c>
      <c r="C19" s="60">
        <f t="shared" ref="C19:C26" si="0">IF(B19=0,0,B19*2-1)</f>
        <v>9</v>
      </c>
      <c r="D19" s="95">
        <f>ROUNDUP($O$2/2+1,0)</f>
        <v>7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18</v>
      </c>
      <c r="G19" s="16"/>
      <c r="H19" s="60">
        <f t="shared" ref="H19:H28" si="2">C19+G19</f>
        <v>9</v>
      </c>
      <c r="I19" s="61">
        <f t="shared" ref="I19:I28" si="3">IF(H19&gt;17,4,IF(H19&gt;14,3,IF(H19&gt;11,2,IF(H19&gt;8,1,IF(H19&gt;5,0,IF(H19&gt;2,-1,-2))))))</f>
        <v>1</v>
      </c>
      <c r="J19" s="53">
        <f t="shared" ref="J19:J28" si="4">$O$2+3</f>
        <v>15</v>
      </c>
      <c r="K19" s="16"/>
      <c r="L19" s="60">
        <f t="shared" ref="L19:L28" si="5">D19+K19</f>
        <v>7</v>
      </c>
      <c r="M19" s="61">
        <f>IF(L19&gt;20,5,IF(L19&gt;17,4,IF(L19&gt;14,3,IF(L19&gt;11,2,IF(L19&gt;8,1,IF(L19&gt;5,0,IF(L19&gt;2,-1,-2)))))))</f>
        <v>0</v>
      </c>
      <c r="O19" s="12" t="str">
        <f>IF(I19&gt;0,_xlfn.CONCAT("Athletics (strength) ",I19,", "),"")</f>
        <v xml:space="preserve">Athletics (strength) 1, </v>
      </c>
      <c r="P19" s="136">
        <f>IF((B19-$B$4)*100&gt;-0.2*$P$5,(B19-$B$4)*100,-0.2*$P$5)+B19*100*(G19)^2+B19*200*(K19)^2</f>
        <v>0</v>
      </c>
      <c r="R19" s="7" t="s">
        <v>798</v>
      </c>
    </row>
    <row r="20" spans="1:26" ht="12" customHeight="1" x14ac:dyDescent="0.35">
      <c r="A20" s="92" t="s">
        <v>51</v>
      </c>
      <c r="B20" s="35">
        <v>5</v>
      </c>
      <c r="C20" s="6">
        <f t="shared" si="0"/>
        <v>9</v>
      </c>
      <c r="D20" s="96">
        <f t="shared" ref="D20:D26" si="6">IF(B20=0,0,ROUNDUP($O$2/2+1,0))</f>
        <v>7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18</v>
      </c>
      <c r="G20" s="16"/>
      <c r="H20" s="6">
        <f t="shared" si="2"/>
        <v>9</v>
      </c>
      <c r="I20" s="21">
        <f t="shared" si="3"/>
        <v>1</v>
      </c>
      <c r="J20" s="53">
        <f t="shared" si="4"/>
        <v>15</v>
      </c>
      <c r="K20" s="16"/>
      <c r="L20" s="6">
        <f t="shared" si="5"/>
        <v>7</v>
      </c>
      <c r="M20" s="61">
        <f t="shared" ref="M20:M28" si="7">IF(L20&gt;20,5,IF(L20&gt;17,4,IF(L20&gt;14,3,IF(L20&gt;11,2,IF(L20&gt;8,1,IF(L20&gt;5,0,IF(L20&gt;2,-1,-2)))))))</f>
        <v>0</v>
      </c>
      <c r="O20" s="12" t="str">
        <f t="shared" ref="O20:O28" si="8">IF(I20&gt;0,_xlfn.CONCAT("Athletics (strength) ",I20,", "),"")</f>
        <v xml:space="preserve">Athletics (strength) 1, </v>
      </c>
      <c r="P20" s="136">
        <f>IF((B20-$B$4)*100&gt;-0.2*$P$5,(B20-$B$4)*100,-0.2*$P$5)+B20*100*(G20)^2+B20*200*(K20)^2</f>
        <v>0</v>
      </c>
      <c r="R20" s="200"/>
      <c r="S20" s="201"/>
      <c r="T20" s="201"/>
      <c r="U20" s="201"/>
      <c r="V20" s="201"/>
      <c r="W20" s="201"/>
      <c r="X20" s="201"/>
      <c r="Y20" s="201"/>
      <c r="Z20" s="202"/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15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3"/>
      <c r="S21" s="204"/>
      <c r="T21" s="204"/>
      <c r="U21" s="204"/>
      <c r="V21" s="204"/>
      <c r="W21" s="204"/>
      <c r="X21" s="204"/>
      <c r="Y21" s="204"/>
      <c r="Z21" s="205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15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15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15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15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15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15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15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464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8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260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1 max skill</v>
      </c>
      <c r="I37" s="194"/>
      <c r="J37" s="194"/>
      <c r="K37" s="43">
        <f>_xlfn.XLOOKUP(A37,OptionsTable[Name],OptionsTable[TL],,,)</f>
        <v>8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4000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291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0</v>
      </c>
      <c r="F38" s="37">
        <f>IF(_xlfn.XLOOKUP(A38,OptionsTable[Name],OptionsTable[xS],,,)=FALSE,1,IF($B$4&gt;0,$E$4,1))</f>
        <v>16</v>
      </c>
      <c r="G38" s="57"/>
      <c r="H38" s="193" t="str">
        <f>IF(_xlfn.XLOOKUP(A38,OptionsTable[Name],OptionsTable[Notes],,,)="","",_xlfn.XLOOKUP(A38,OptionsTable[Name],OptionsTable[Notes],,,))</f>
        <v/>
      </c>
      <c r="I38" s="194"/>
      <c r="J38" s="194"/>
      <c r="K38" s="43">
        <f>_xlfn.XLOOKUP(A38,OptionsTable[Name],OptionsTable[TL],,,)</f>
        <v>9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8000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426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-2</v>
      </c>
      <c r="F39" s="37">
        <f>IF(_xlfn.XLOOKUP(A39,OptionsTable[Name],OptionsTable[xS],,,)=FALSE,1,IF($B$4&gt;0,$E$4,1))</f>
        <v>1</v>
      </c>
      <c r="G39" s="57"/>
      <c r="H39" s="193" t="str">
        <f>IF(_xlfn.XLOOKUP(A39,OptionsTable[Name],OptionsTable[Notes],,,)="","",_xlfn.XLOOKUP(A39,OptionsTable[Name],OptionsTable[Notes],,,))</f>
        <v>10 m^2 / hour</v>
      </c>
      <c r="I39" s="194"/>
      <c r="J39" s="194"/>
      <c r="K39" s="43">
        <f>_xlfn.XLOOKUP(A39,OptionsTable[Name],OptionsTable[TL],,,)</f>
        <v>5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500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267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-6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4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1000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 t="s">
        <v>641</v>
      </c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-1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>1 hour recharge</v>
      </c>
      <c r="I41" s="194"/>
      <c r="J41" s="194"/>
      <c r="K41" s="43">
        <f>_xlfn.XLOOKUP(A41,OptionsTable[Name],OptionsTable[TL],,,)</f>
        <v>8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200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 t="s">
        <v>471</v>
      </c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-3</v>
      </c>
      <c r="F42" s="37">
        <f>IF(_xlfn.XLOOKUP(A42,OptionsTable[Name],OptionsTable[xS],,,)=FALSE,1,IF($B$4&gt;0,$E$4,1))</f>
        <v>1</v>
      </c>
      <c r="G42" s="57">
        <v>3</v>
      </c>
      <c r="H42" s="193" t="str">
        <f>IF(_xlfn.XLOOKUP(A42,OptionsTable[Name],OptionsTable[Notes],,,)="","",_xlfn.XLOOKUP(A42,OptionsTable[Name],OptionsTable[Notes],,,))</f>
        <v>2 kg or litres / slot</v>
      </c>
      <c r="I42" s="194"/>
      <c r="J42" s="194"/>
      <c r="K42" s="43">
        <f>_xlfn.XLOOKUP(A42,OptionsTable[Name],OptionsTable[TL],,,)</f>
        <v>6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150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/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>
        <v>0</v>
      </c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80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8</v>
      </c>
      <c r="I64" s="31">
        <f>IF(H64&gt;17,4,IF(H64&gt;14,3,IF(H64&gt;11,2,IF(H64&gt;8,1,IF(H64&gt;5,0,IF(H64&gt;2,-1,-2))))))</f>
        <v>0</v>
      </c>
      <c r="J64" s="1">
        <f>_xlfn.XLOOKUP(B64,Brains[Programming/Control],Brains[Computer/X],,,)</f>
        <v>2</v>
      </c>
      <c r="K64" s="43">
        <f>_xlfn.XLOOKUP(B64,Brains[Programming/Control],Brains[TL],,,)</f>
        <v>12</v>
      </c>
      <c r="L64">
        <f>_xlfn.XLOOKUP(B64,Brains[Programming/Control],Brains[Computer/X],,,)</f>
        <v>2</v>
      </c>
      <c r="M64" s="12" t="str">
        <f>_xlfn.XLOOKUP(B64,Brains[Programming/Control],Brains[Base capability (built-in no bandwidth, cumulative)],,,)</f>
        <v>Intelligent Interface, Expert/1, Security/1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156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10</v>
      </c>
      <c r="L65">
        <f>_xlfn.XLOOKUP(B65,Bandwidth[Minimum Base Brain],Bandwidth[Bandwidth],,,)+L64</f>
        <v>4</v>
      </c>
      <c r="M65" t="s">
        <v>310</v>
      </c>
      <c r="P65" s="136">
        <f>_xlfn.XLOOKUP(B65,Bandwidth[Minimum Base Brain],Bandwidth[Cost],,,)</f>
        <v>5000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1</v>
      </c>
      <c r="E66" s="39"/>
      <c r="F66" s="37" cm="1">
        <f t="array" ref="F66">_xlfn.IFS(B66=0,0,B66=1,-1,B66=2,-3,B66=3,-6)</f>
        <v>-1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3</v>
      </c>
      <c r="M66" t="s">
        <v>310</v>
      </c>
      <c r="P66" s="136" cm="1">
        <f t="array" ref="P66">_xlfn.IFS(B66=0,0,B66=1,(H64+1)*1000,B66=2,(H64+1)*(H64+2)*1000,B66=3,(H64+1)*(H64+2)*(H64+3)*1000)*IF(H66&gt;11,2,1)</f>
        <v>9000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2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30" t="s">
        <v>130</v>
      </c>
      <c r="B73" s="153"/>
      <c r="C73" s="154"/>
      <c r="D73" s="57">
        <v>2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2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10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Mechanic 3, </v>
      </c>
      <c r="P73" s="138">
        <f>IF(AND(A73="Science ()",B73="all",D73&gt;0),(_xlfn.XLOOKUP(A73,StandardBrain[Name],StandardBrain[Cr],,,)*10^(D73))*8,IF(AND(B73="all",D73&gt;0),(_xlfn.XLOOKUP(A73,StandardBrain[Name],StandardBrain[Cr],,,)*10^(D73))*4,IF(A73="N/A",0,_xlfn.XLOOKUP(A73,StandardBrain[Name],StandardBrain[Cr],,,)*10^(D73))))</f>
        <v>10000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135</v>
      </c>
      <c r="B74" s="193" t="s">
        <v>802</v>
      </c>
      <c r="C74" s="227"/>
      <c r="D74" s="57">
        <v>1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1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10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Profession (robotics) 2, </v>
      </c>
      <c r="P74" s="138">
        <f>IF(AND(A74="Science ()",B74="all",D74&gt;0),(_xlfn.XLOOKUP(A74,StandardBrain[Name],StandardBrain[Cr],,,)*10^(D74))*8,IF(AND(B74="all",D74&gt;0),(_xlfn.XLOOKUP(A74,StandardBrain[Name],StandardBrain[Cr],,,)*10^(D74))*4,IF(A74="N/A",0,_xlfn.XLOOKUP(A74,StandardBrain[Name],StandardBrain[Cr],,,)*10^(D74))))</f>
        <v>2000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117</v>
      </c>
      <c r="B75" s="193"/>
      <c r="C75" s="227"/>
      <c r="D75" s="57"/>
      <c r="E75" s="39"/>
      <c r="G75" s="59" t="str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/>
      </c>
      <c r="I75" s="58" t="str">
        <f>_xlfn.XLOOKUP(A75,StandardBrain[Name],StandardBrain[Characteristic],,,)</f>
        <v xml:space="preserve"> </v>
      </c>
      <c r="K75" s="43">
        <f>_xlfn.XLOOKUP(A75,StandardBrain[Name],StandardBrain[TL],,,)+D75</f>
        <v>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/>
      </c>
      <c r="P75" s="138">
        <f>IF(AND(A75="Science ()",B75="all",D75&gt;0),(_xlfn.XLOOKUP(A75,StandardBrain[Name],StandardBrain[Cr],,,)*10^(D75))*8,IF(AND(B75="all",D75&gt;0),(_xlfn.XLOOKUP(A75,StandardBrain[Name],StandardBrain[Cr],,,)*10^(D75))*4,IF(A75="N/A",0,_xlfn.XLOOKUP(A75,StandardBrain[Name],StandardBrain[Cr],,,)*10^(D75))))</f>
        <v>0</v>
      </c>
      <c r="R75" s="206"/>
      <c r="S75" s="207"/>
      <c r="T75" s="207"/>
      <c r="U75" s="207"/>
      <c r="V75" s="207"/>
      <c r="W75" s="207"/>
      <c r="X75" s="207"/>
      <c r="Y75" s="207"/>
      <c r="Z75" s="208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,D76&gt;0),(_xlfn.XLOOKUP(A76,StandardBrain[Name],StandardBrain[Cr],,,)*10^(D76))*8,IF(AND(B76="all",D76&gt;0),(_xlfn.XLOOKUP(A76,StandardBrain[Name],StandardBrain[Cr],,,)*10^(D76))*4,IF(A76="N/A",0,_xlfn.XLOOKUP(A76,StandardBrain[Name],StandardBrain[Cr],,,)*10^(D76))))</f>
        <v>0</v>
      </c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,D77&gt;0),(_xlfn.XLOOKUP(A77,StandardBrain[Name],StandardBrain[Cr],,,)*10^(D77))*8,IF(AND(B77="all",D77&gt;0)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,D78&gt;0),(_xlfn.XLOOKUP(A78,StandardBrain[Name],StandardBrain[Cr],,,)*10^(D78))*8,IF(AND(B78="all",D78&gt;0)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,D79&gt;0),(_xlfn.XLOOKUP(A79,StandardBrain[Name],StandardBrain[Cr],,,)*10^(D79))*8,IF(AND(B79="all",D79&gt;0)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,D80&gt;0),(_xlfn.XLOOKUP(A80,StandardBrain[Name],StandardBrain[Cr],,,)*10^(D80))*8,IF(AND(B80="all",D80&gt;0)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,D81&gt;0),(_xlfn.XLOOKUP(A81,StandardBrain[Name],StandardBrain[Cr],,,)*10^(D81))*8,IF(AND(B81="all",D81&gt;0)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,D82&gt;0),(_xlfn.XLOOKUP(A82,StandardBrain[Name],StandardBrain[Cr],,,)*10^(D82))*8,IF(AND(B82="all",D82&gt;0)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,D83&gt;0),(_xlfn.XLOOKUP(A83,StandardBrain[Name],StandardBrain[Cr],,,)*10^(D83))*8,IF(AND(B83="all",D83&gt;0)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,D84&gt;0),(_xlfn.XLOOKUP(A84,StandardBrain[Name],StandardBrain[Cr],,,)*10^(D84))*8,IF(AND(B84="all",D84&gt;0)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,D85&gt;0),(_xlfn.XLOOKUP(A85,StandardBrain[Name],StandardBrain[Cr],,,)*10^(D85))*8,IF(AND(B85="all",D85&gt;0)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,D86&gt;0),(_xlfn.XLOOKUP(A86,StandardBrain[Name],StandardBrain[Cr],,,)*10^(D86))*8,IF(AND(B86="all",D86&gt;0)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,D87&gt;0),(_xlfn.XLOOKUP(A87,StandardBrain[Name],StandardBrain[Cr],,,)*10^(D87))*8,IF(AND(B87="all",D87&gt;0)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,D88&gt;0),(_xlfn.XLOOKUP(A88,StandardBrain[Name],StandardBrain[Cr],,,)*10^(D88))*8,IF(AND(B88="all",D88&gt;0)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,D89&gt;0),(_xlfn.XLOOKUP(A89,StandardBrain[Name],StandardBrain[Cr],,,)*10^(D89))*8,IF(AND(B89="all",D89&gt;0)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,D90&gt;0),(_xlfn.XLOOKUP(A90,StandardBrain[Name],StandardBrain[Cr],,,)*10^(D90))*8,IF(AND(B90="all",D90&gt;0)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60950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54800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2">
    <sortCondition ref="A36:A42"/>
  </sortState>
  <dataConsolidate/>
  <mergeCells count="112"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4:D64"/>
    <mergeCell ref="B65:D65"/>
    <mergeCell ref="B69:D69"/>
    <mergeCell ref="B70:D70"/>
    <mergeCell ref="B71:D71"/>
    <mergeCell ref="A59:D59"/>
    <mergeCell ref="H59:I59"/>
    <mergeCell ref="A60:D60"/>
    <mergeCell ref="H60:I60"/>
    <mergeCell ref="A61:D61"/>
    <mergeCell ref="H61:I61"/>
    <mergeCell ref="A55:D55"/>
    <mergeCell ref="H55:J55"/>
    <mergeCell ref="A56:D56"/>
    <mergeCell ref="H56:J56"/>
    <mergeCell ref="A57:D57"/>
    <mergeCell ref="H57:J57"/>
    <mergeCell ref="A52:D52"/>
    <mergeCell ref="H52:J52"/>
    <mergeCell ref="A53:D53"/>
    <mergeCell ref="H53:J53"/>
    <mergeCell ref="A54:D54"/>
    <mergeCell ref="H54:J54"/>
    <mergeCell ref="A49:D49"/>
    <mergeCell ref="H49:J49"/>
    <mergeCell ref="A50:D50"/>
    <mergeCell ref="H50:J50"/>
    <mergeCell ref="A51:D51"/>
    <mergeCell ref="H51:J51"/>
    <mergeCell ref="A38:D38"/>
    <mergeCell ref="H38:J38"/>
    <mergeCell ref="A39:D39"/>
    <mergeCell ref="H39:J39"/>
    <mergeCell ref="A46:D46"/>
    <mergeCell ref="H46:J46"/>
    <mergeCell ref="A47:D47"/>
    <mergeCell ref="H47:J47"/>
    <mergeCell ref="A48:D48"/>
    <mergeCell ref="H48:J48"/>
    <mergeCell ref="A43:D43"/>
    <mergeCell ref="H43:J43"/>
    <mergeCell ref="A44:D44"/>
    <mergeCell ref="H44:J44"/>
    <mergeCell ref="A45:D45"/>
    <mergeCell ref="H45:J45"/>
    <mergeCell ref="H33:J33"/>
    <mergeCell ref="A34:D34"/>
    <mergeCell ref="H34:J34"/>
    <mergeCell ref="H35:J35"/>
    <mergeCell ref="A36:D36"/>
    <mergeCell ref="H36:J36"/>
    <mergeCell ref="R20:Z75"/>
    <mergeCell ref="B29:D29"/>
    <mergeCell ref="H29:J29"/>
    <mergeCell ref="A30:D30"/>
    <mergeCell ref="H30:J30"/>
    <mergeCell ref="A31:D31"/>
    <mergeCell ref="H31:J31"/>
    <mergeCell ref="A32:D32"/>
    <mergeCell ref="H32:J32"/>
    <mergeCell ref="A33:D33"/>
    <mergeCell ref="A40:D40"/>
    <mergeCell ref="H40:J40"/>
    <mergeCell ref="A41:D41"/>
    <mergeCell ref="H41:J41"/>
    <mergeCell ref="A42:D42"/>
    <mergeCell ref="H42:J42"/>
    <mergeCell ref="A37:D37"/>
    <mergeCell ref="H37:J37"/>
    <mergeCell ref="G11:H11"/>
    <mergeCell ref="K11:L11"/>
    <mergeCell ref="S11:Z11"/>
    <mergeCell ref="G12:O12"/>
    <mergeCell ref="S12:Z12"/>
    <mergeCell ref="R13:R17"/>
    <mergeCell ref="S13:Z17"/>
    <mergeCell ref="G9:I9"/>
    <mergeCell ref="K9:M9"/>
    <mergeCell ref="S9:Z9"/>
    <mergeCell ref="G10:H10"/>
    <mergeCell ref="K10:M10"/>
    <mergeCell ref="S10:Z10"/>
    <mergeCell ref="G5:I5"/>
    <mergeCell ref="H6:N6"/>
    <mergeCell ref="G7:I7"/>
    <mergeCell ref="S7:Z7"/>
    <mergeCell ref="G8:I8"/>
    <mergeCell ref="K8:M8"/>
    <mergeCell ref="S8:Z8"/>
    <mergeCell ref="B2:D2"/>
    <mergeCell ref="F2:H2"/>
    <mergeCell ref="I2:M2"/>
    <mergeCell ref="G3:J3"/>
    <mergeCell ref="G4:I4"/>
    <mergeCell ref="K4:L4"/>
  </mergeCells>
  <conditionalFormatting sqref="B14">
    <cfRule type="expression" dxfId="101" priority="6">
      <formula>ABS($J$14-6) &gt; 6</formula>
    </cfRule>
  </conditionalFormatting>
  <conditionalFormatting sqref="E2">
    <cfRule type="expression" dxfId="100" priority="4">
      <formula>$E$2&lt;0</formula>
    </cfRule>
  </conditionalFormatting>
  <conditionalFormatting sqref="E15:E17">
    <cfRule type="expression" dxfId="99" priority="1">
      <formula>AND($B$4=0,E15&lt;0)</formula>
    </cfRule>
  </conditionalFormatting>
  <conditionalFormatting sqref="K5 K30:K34 K36:K57 K59:K61 K64:K67 K73:K90">
    <cfRule type="expression" dxfId="98" priority="5">
      <formula>K5&gt;$O$2</formula>
    </cfRule>
  </conditionalFormatting>
  <conditionalFormatting sqref="L57">
    <cfRule type="expression" dxfId="97" priority="2">
      <formula>L57&gt;$O$2</formula>
    </cfRule>
  </conditionalFormatting>
  <conditionalFormatting sqref="L67">
    <cfRule type="expression" dxfId="96" priority="3">
      <formula>L67&lt;0</formula>
    </cfRule>
  </conditionalFormatting>
  <dataValidations count="20">
    <dataValidation type="whole" allowBlank="1" showInputMessage="1" showErrorMessage="1" error="Must be a negative number no less than a 50% of the base hits" sqref="B11" xr:uid="{00F8DBA0-B1B4-4294-9F79-63329F7DFA86}">
      <formula1>-J4/2</formula1>
      <formula2>0</formula2>
    </dataValidation>
    <dataValidation type="whole" allowBlank="1" showInputMessage="1" showErrorMessage="1" error="Must be whole number. No more than 50% of slots may be used for Resiliency" sqref="B10" xr:uid="{9CCDD020-59B4-4077-8547-D4070FB9E50D}">
      <formula1>0</formula1>
      <formula2>E4/2</formula2>
    </dataValidation>
    <dataValidation type="whole" allowBlank="1" showInputMessage="1" showErrorMessage="1" sqref="E11" xr:uid="{17507114-5604-4C6C-81A5-1AB6E4D963E1}">
      <formula1>0</formula1>
      <formula2>J4/2</formula2>
    </dataValidation>
    <dataValidation type="list" allowBlank="1" showInputMessage="1" showErrorMessage="1" error="Maximum = 3" sqref="B9" xr:uid="{44643DFD-F994-4741-BE41-3ACFD2F0315F}">
      <formula1>"0,1,2,3"</formula1>
    </dataValidation>
    <dataValidation type="list" allowBlank="1" showInputMessage="1" showErrorMessage="1" sqref="B4" xr:uid="{8B808DCA-6783-4976-8AF3-C33C5664223B}">
      <formula1>"0,1,2,3,4,5,6,7,8"</formula1>
    </dataValidation>
    <dataValidation type="list" allowBlank="1" showInputMessage="1" showErrorMessage="1" sqref="O2" xr:uid="{83975CAE-71D0-4A89-8442-12D7E7DFB00C}">
      <formula1>"7,8,9,10,11,12,13,14,15,16,17,18"</formula1>
    </dataValidation>
    <dataValidation type="whole" allowBlank="1" showInputMessage="1" showErrorMessage="1" error="Max Manipulator Size = Chassis Size +2_x000a_Min Manipulator Size = 0_x000a_Whole Numbers Only" sqref="B19:B26" xr:uid="{AE2653EC-5FDF-414D-BCBC-B1634115E502}">
      <formula1>0</formula1>
      <formula2>$B$4+2</formula2>
    </dataValidation>
    <dataValidation type="list" allowBlank="1" showInputMessage="1" showErrorMessage="1" sqref="B27:B28 B67 B8" xr:uid="{42543743-AA06-4791-BF87-6D371BE45E66}">
      <formula1>"TRUE,FALSE"</formula1>
    </dataValidation>
    <dataValidation type="list" allowBlank="1" showInputMessage="1" showErrorMessage="1" sqref="B13" xr:uid="{9F13B951-1878-412E-9A2B-032CEEE82254}">
      <formula1>"0,1,2,3,4"</formula1>
    </dataValidation>
    <dataValidation type="list" allowBlank="1" showInputMessage="1" showErrorMessage="1" sqref="B66 D73:D90" xr:uid="{CDD12DA6-C269-4C8D-BAD5-AC34891D6545}">
      <formula1>"0,1,2,3"</formula1>
    </dataValidation>
    <dataValidation type="list" allowBlank="1" showInputMessage="1" showErrorMessage="1" sqref="B15" xr:uid="{A8741470-F929-4656-8B81-8BA0000E7F82}">
      <formula1>"FALSE,TRUE"</formula1>
    </dataValidation>
    <dataValidation type="list" allowBlank="1" showInputMessage="1" showErrorMessage="1" sqref="B16" xr:uid="{9614448B-4708-4DC8-B7AD-D0AF281C3DDB}">
      <formula1>"No,1X,2X,3X"</formula1>
    </dataValidation>
    <dataValidation type="whole" allowBlank="1" showInputMessage="1" showErrorMessage="1" error="Must be whole number between -6 and +12" sqref="B14" xr:uid="{956DEF97-11DA-4CD0-B4A4-5E6E98CFC586}">
      <formula1>-6</formula1>
      <formula2>12</formula2>
    </dataValidation>
    <dataValidation type="whole" allowBlank="1" showInputMessage="1" showErrorMessage="1" sqref="C11:D11" xr:uid="{4042F158-B466-419C-9ECB-775748067A9A}">
      <formula1>0</formula1>
      <formula2>D4/2</formula2>
    </dataValidation>
    <dataValidation type="whole" allowBlank="1" showInputMessage="1" showErrorMessage="1" sqref="C13:D13" xr:uid="{497ABE0E-0100-4F36-AB83-EFDC790C451E}">
      <formula1>0</formula1>
      <formula2>D5/2</formula2>
    </dataValidation>
    <dataValidation type="whole" allowBlank="1" showInputMessage="1" showErrorMessage="1" sqref="C14:D14" xr:uid="{21C9907D-6570-451A-B4D7-72325387963F}">
      <formula1>0</formula1>
      <formula2>D15/2</formula2>
    </dataValidation>
    <dataValidation type="whole" allowBlank="1" showInputMessage="1" showErrorMessage="1" sqref="E13:E14" xr:uid="{237BEE11-3F44-4A01-B94B-35B8FAB9D827}">
      <formula1>0</formula1>
      <formula2>#REF!/2</formula2>
    </dataValidation>
    <dataValidation type="whole" allowBlank="1" showInputMessage="1" showErrorMessage="1" error="Max STR = Lesser of Size + TL or SIZE X 4" sqref="G19:G28" xr:uid="{F8D73D78-9F00-49A1-B3B3-D244B14C5109}">
      <formula1>0</formula1>
      <formula2>F19-C19</formula2>
    </dataValidation>
    <dataValidation type="whole" allowBlank="1" showInputMessage="1" showErrorMessage="1" error="Max DEX = TL+3" sqref="K19:K28" xr:uid="{CE2A8815-0153-408B-B58A-262CC15DBBA7}">
      <formula1>0</formula1>
      <formula2>J19-D19</formula2>
    </dataValidation>
    <dataValidation type="whole" allowBlank="1" showInputMessage="1" showErrorMessage="1" error="Total Armour cannot exceed Maximum" sqref="B7" xr:uid="{105EC70B-EDCB-426F-848C-6314283A4600}">
      <formula1>-1</formula1>
      <formula2>L7-MID(A7,18,1)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5CBFB9DD-6E1D-4478-B101-8463F72DE9AB}">
          <x14:formula1>
            <xm:f>Options!$C$9:$C$71</xm:f>
          </x14:formula1>
          <xm:sqref>A30:A34</xm:sqref>
        </x14:dataValidation>
        <x14:dataValidation type="list" allowBlank="1" showInputMessage="1" showErrorMessage="1" xr:uid="{879A6C87-C881-43B3-AC4B-8D1CE71E0261}">
          <x14:formula1>
            <xm:f>Chassis!$H$3:$H$13</xm:f>
          </x14:formula1>
          <xm:sqref>B17 B5</xm:sqref>
        </x14:dataValidation>
        <x14:dataValidation type="list" allowBlank="1" showInputMessage="1" showErrorMessage="1" xr:uid="{DF17A794-91A1-4681-A7F6-3DCE2BFA99D7}">
          <x14:formula1>
            <xm:f>Packages!$B$11:$B$19</xm:f>
          </x14:formula1>
          <xm:sqref>B70</xm:sqref>
        </x14:dataValidation>
        <x14:dataValidation type="list" allowBlank="1" showInputMessage="1" showErrorMessage="1" xr:uid="{3599EF7C-3861-46BD-8533-359DF375EB7E}">
          <x14:formula1>
            <xm:f>Packages!$B$3:$B$7</xm:f>
          </x14:formula1>
          <xm:sqref>B69</xm:sqref>
        </x14:dataValidation>
        <x14:dataValidation type="list" allowBlank="1" showInputMessage="1" showErrorMessage="1" xr:uid="{9E42B64A-D386-44BB-8664-59BF5F3D1928}">
          <x14:formula1>
            <xm:f>Packages!$B$23:$B$25</xm:f>
          </x14:formula1>
          <xm:sqref>B71</xm:sqref>
        </x14:dataValidation>
        <x14:dataValidation type="list" allowBlank="1" showInputMessage="1" showErrorMessage="1" xr:uid="{AD39C088-2BA6-4DEE-A9F3-F716A619027E}">
          <x14:formula1>
            <xm:f>Options!$C$9:$C$251</xm:f>
          </x14:formula1>
          <xm:sqref>A36:A56</xm:sqref>
        </x14:dataValidation>
        <x14:dataValidation type="list" allowBlank="1" showInputMessage="1" showErrorMessage="1" xr:uid="{86862362-6903-4F4E-B805-AB321E54262B}">
          <x14:formula1>
            <xm:f>Packages!$B$29:$B$68</xm:f>
          </x14:formula1>
          <xm:sqref>A73:A90</xm:sqref>
        </x14:dataValidation>
        <x14:dataValidation type="list" allowBlank="1" showInputMessage="1" showErrorMessage="1" xr:uid="{7E6D9D22-15D9-4A44-A470-DA214C0365E0}">
          <x14:formula1>
            <xm:f>Brains!$K$3:$K$16</xm:f>
          </x14:formula1>
          <xm:sqref>B65</xm:sqref>
        </x14:dataValidation>
        <x14:dataValidation type="list" allowBlank="1" showInputMessage="1" showErrorMessage="1" xr:uid="{0C931119-08AD-4633-8470-E2C9DB02E53F}">
          <x14:formula1>
            <xm:f>Brains!$B$3:$B$19</xm:f>
          </x14:formula1>
          <xm:sqref>B64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E3C0-C2FD-45F5-A348-2A7F89E05DD6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 t="s">
        <v>826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105700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5</v>
      </c>
      <c r="E4" s="114">
        <f>_xlfn.XLOOKUP(B4,Size[Size],Size[Base Slots],,,)</f>
        <v>16</v>
      </c>
      <c r="F4" s="37">
        <f>B4+O2</f>
        <v>20</v>
      </c>
      <c r="G4" s="168" t="s">
        <v>299</v>
      </c>
      <c r="H4" s="168"/>
      <c r="I4" s="169"/>
      <c r="J4" s="108">
        <f>_xlfn.XLOOKUP(B4,Size[Size],Size[Base hits],,,)</f>
        <v>20</v>
      </c>
      <c r="K4" s="170" t="s">
        <v>727</v>
      </c>
      <c r="L4" s="171"/>
      <c r="M4" s="52">
        <f>_xlfn.XLOOKUP(B4,Size[Size],Size[Basic Cost],,,)</f>
        <v>1000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/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10000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Enhanced Mechanic Droid</v>
      </c>
      <c r="S6" s="143">
        <f>M11</f>
        <v>20</v>
      </c>
      <c r="T6" s="143" t="str">
        <f>B5</f>
        <v>Walker</v>
      </c>
      <c r="U6" s="143" t="str">
        <f>_xlfn.CONCAT(J14," m")</f>
        <v>5 m</v>
      </c>
      <c r="V6" s="144">
        <f>O2</f>
        <v>15</v>
      </c>
      <c r="W6" s="147">
        <f>P91</f>
        <v>117550</v>
      </c>
      <c r="X6" s="151">
        <f>IF(I2="Standard Design",0.1,0)</f>
        <v>0.1</v>
      </c>
      <c r="Y6" s="152">
        <v>2</v>
      </c>
      <c r="Z6" s="147">
        <f>FLOOR(P91*(1-X6),100)</f>
        <v>105700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9" t="str">
        <f>_xlfn.CONCAT(O9,O13,O19:O28,O30:O34,O36:O57,O64,O69:O71,O73:O90)</f>
        <v xml:space="preserve">Athletics (endurance) 1, Athletics (strength) 1, Athletics (strength) 1, Electronics () 3, Mechanic 3, Profession (robotics) 2, </v>
      </c>
      <c r="T7" s="240"/>
      <c r="U7" s="240"/>
      <c r="V7" s="240"/>
      <c r="W7" s="240"/>
      <c r="X7" s="240"/>
      <c r="Y7" s="240"/>
      <c r="Z7" s="241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144</v>
      </c>
      <c r="K8" s="188" t="s">
        <v>64</v>
      </c>
      <c r="L8" s="189"/>
      <c r="M8" s="190"/>
      <c r="P8" s="136">
        <f>B8*0.5*P5</f>
        <v>0</v>
      </c>
      <c r="R8" s="215"/>
      <c r="S8" s="242"/>
      <c r="T8" s="243"/>
      <c r="U8" s="243"/>
      <c r="V8" s="243"/>
      <c r="W8" s="243"/>
      <c r="X8" s="243"/>
      <c r="Y8" s="243"/>
      <c r="Z8" s="244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-2</v>
      </c>
      <c r="F9" s="37"/>
      <c r="G9" s="179" t="s">
        <v>302</v>
      </c>
      <c r="H9" s="179"/>
      <c r="I9" s="180"/>
      <c r="J9" s="51">
        <f>J8*(1+B9)</f>
        <v>288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1000</v>
      </c>
      <c r="R9" s="115" t="s">
        <v>320</v>
      </c>
      <c r="S9" s="182" t="str">
        <f>_xlfn.CONCAT(A59," (",J59," ",N59,") ",A60," (",J60," ",N60,") ",A61," (",J61," ",N61,") ")</f>
        <v xml:space="preserve">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9 DEX 9)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20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288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(idle),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Very 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288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(improved), Visual Spectrum Sensor, Voder Speaker, Wireless Data Link, Drone Interface, Electronics Toolkit (enhanced), Gecko Grippers, Industrial Cleaning Equipment (small), Mechanical Toolkit (improved), Quick Charger, Storage Compartment (standard), 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5</v>
      </c>
      <c r="C19" s="60">
        <f t="shared" ref="C19:C26" si="0">IF(B19=0,0,B19*2-1)</f>
        <v>9</v>
      </c>
      <c r="D19" s="95">
        <f>ROUNDUP($O$2/2+1,0)</f>
        <v>9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18</v>
      </c>
      <c r="G19" s="16"/>
      <c r="H19" s="60">
        <f t="shared" ref="H19:H28" si="2">C19+G19</f>
        <v>9</v>
      </c>
      <c r="I19" s="61">
        <f t="shared" ref="I19:I28" si="3">IF(H19&gt;17,4,IF(H19&gt;14,3,IF(H19&gt;11,2,IF(H19&gt;8,1,IF(H19&gt;5,0,IF(H19&gt;2,-1,-2))))))</f>
        <v>1</v>
      </c>
      <c r="J19" s="53">
        <f t="shared" ref="J19:J28" si="4">$O$2+3</f>
        <v>18</v>
      </c>
      <c r="K19" s="16"/>
      <c r="L19" s="60">
        <f t="shared" ref="L19:L28" si="5">D19+K19</f>
        <v>9</v>
      </c>
      <c r="M19" s="61">
        <f>IF(L19&gt;20,5,IF(L19&gt;17,4,IF(L19&gt;14,3,IF(L19&gt;11,2,IF(L19&gt;8,1,IF(L19&gt;5,0,IF(L19&gt;2,-1,-2)))))))</f>
        <v>1</v>
      </c>
      <c r="O19" s="12" t="str">
        <f>IF(I19&gt;0,_xlfn.CONCAT("Athletics (strength) ",I19,", "),"")</f>
        <v xml:space="preserve">Athletics (strength) 1, </v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5</v>
      </c>
      <c r="C20" s="6">
        <f t="shared" si="0"/>
        <v>9</v>
      </c>
      <c r="D20" s="96">
        <f t="shared" ref="D20:D26" si="6">IF(B20=0,0,ROUNDUP($O$2/2+1,0))</f>
        <v>9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18</v>
      </c>
      <c r="G20" s="16"/>
      <c r="H20" s="6">
        <f t="shared" si="2"/>
        <v>9</v>
      </c>
      <c r="I20" s="21">
        <f t="shared" si="3"/>
        <v>1</v>
      </c>
      <c r="J20" s="53">
        <f t="shared" si="4"/>
        <v>18</v>
      </c>
      <c r="K20" s="16"/>
      <c r="L20" s="6">
        <f t="shared" si="5"/>
        <v>9</v>
      </c>
      <c r="M20" s="61">
        <f t="shared" ref="M20:M28" si="7">IF(L20&gt;20,5,IF(L20&gt;17,4,IF(L20&gt;14,3,IF(L20&gt;11,2,IF(L20&gt;8,1,IF(L20&gt;5,0,IF(L20&gt;2,-1,-2)))))))</f>
        <v>1</v>
      </c>
      <c r="O20" s="12" t="str">
        <f t="shared" ref="O20:O28" si="8">IF(I20&gt;0,_xlfn.CONCAT("Athletics (strength) ",I20,", "),"")</f>
        <v xml:space="preserve">Athletics (strength) 1, </v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464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8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261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2 max skill</v>
      </c>
      <c r="I37" s="194"/>
      <c r="J37" s="194"/>
      <c r="K37" s="43">
        <f>_xlfn.XLOOKUP(A37,OptionsTable[Name],OptionsTable[TL],,,)</f>
        <v>10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6000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291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0</v>
      </c>
      <c r="F38" s="37">
        <f>IF(_xlfn.XLOOKUP(A38,OptionsTable[Name],OptionsTable[xS],,,)=FALSE,1,IF($B$4&gt;0,$E$4,1))</f>
        <v>16</v>
      </c>
      <c r="G38" s="57"/>
      <c r="H38" s="193" t="str">
        <f>IF(_xlfn.XLOOKUP(A38,OptionsTable[Name],OptionsTable[Notes],,,)="","",_xlfn.XLOOKUP(A38,OptionsTable[Name],OptionsTable[Notes],,,))</f>
        <v/>
      </c>
      <c r="I38" s="194"/>
      <c r="J38" s="194"/>
      <c r="K38" s="43">
        <f>_xlfn.XLOOKUP(A38,OptionsTable[Name],OptionsTable[TL],,,)</f>
        <v>9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8000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426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-2</v>
      </c>
      <c r="F39" s="37">
        <f>IF(_xlfn.XLOOKUP(A39,OptionsTable[Name],OptionsTable[xS],,,)=FALSE,1,IF($B$4&gt;0,$E$4,1))</f>
        <v>1</v>
      </c>
      <c r="G39" s="57"/>
      <c r="H39" s="193" t="str">
        <f>IF(_xlfn.XLOOKUP(A39,OptionsTable[Name],OptionsTable[Notes],,,)="","",_xlfn.XLOOKUP(A39,OptionsTable[Name],OptionsTable[Notes],,,))</f>
        <v>10 m^2 / hour</v>
      </c>
      <c r="I39" s="194"/>
      <c r="J39" s="194"/>
      <c r="K39" s="43">
        <f>_xlfn.XLOOKUP(A39,OptionsTable[Name],OptionsTable[TL],,,)</f>
        <v>5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500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268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-4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8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2000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 t="s">
        <v>641</v>
      </c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-1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>1 hour recharge</v>
      </c>
      <c r="I41" s="194"/>
      <c r="J41" s="194"/>
      <c r="K41" s="43">
        <f>_xlfn.XLOOKUP(A41,OptionsTable[Name],OptionsTable[TL],,,)</f>
        <v>8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200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 t="s">
        <v>471</v>
      </c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-5</v>
      </c>
      <c r="F42" s="37">
        <f>IF(_xlfn.XLOOKUP(A42,OptionsTable[Name],OptionsTable[xS],,,)=FALSE,1,IF($B$4&gt;0,$E$4,1))</f>
        <v>1</v>
      </c>
      <c r="G42" s="57">
        <v>5</v>
      </c>
      <c r="H42" s="193" t="str">
        <f>IF(_xlfn.XLOOKUP(A42,OptionsTable[Name],OptionsTable[Notes],,,)="","",_xlfn.XLOOKUP(A42,OptionsTable[Name],OptionsTable[Notes],,,))</f>
        <v>2 kg or litres / slot</v>
      </c>
      <c r="I42" s="194"/>
      <c r="J42" s="194"/>
      <c r="K42" s="43">
        <f>_xlfn.XLOOKUP(A42,OptionsTable[Name],OptionsTable[TL],,,)</f>
        <v>6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250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/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>
        <v>0</v>
      </c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81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9</v>
      </c>
      <c r="I64" s="31">
        <f>IF(H64&gt;17,4,IF(H64&gt;14,3,IF(H64&gt;11,2,IF(H64&gt;8,1,IF(H64&gt;5,0,IF(H64&gt;2,-1,-2))))))</f>
        <v>1</v>
      </c>
      <c r="J64" s="1">
        <f>_xlfn.XLOOKUP(B64,Brains[Programming/Control],Brains[Computer/X],,,)</f>
        <v>3</v>
      </c>
      <c r="K64" s="43">
        <f>_xlfn.XLOOKUP(B64,Brains[Programming/Control],Brains[TL],,,)</f>
        <v>12</v>
      </c>
      <c r="L64">
        <f>_xlfn.XLOOKUP(B64,Brains[Programming/Control],Brains[Computer/X],,,)</f>
        <v>3</v>
      </c>
      <c r="M64" s="12" t="str">
        <f>_xlfn.XLOOKUP(B64,Brains[Programming/Control],Brains[Base capability (built-in no bandwidth, cumulative)],,,)</f>
        <v>Intellect Interface, Expert/2, Security/2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62500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156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10</v>
      </c>
      <c r="L65">
        <f>_xlfn.XLOOKUP(B65,Bandwidth[Minimum Base Brain],Bandwidth[Bandwidth],,,)+L64</f>
        <v>5</v>
      </c>
      <c r="M65" t="s">
        <v>310</v>
      </c>
      <c r="P65" s="136">
        <f>_xlfn.XLOOKUP(B65,Bandwidth[Minimum Base Brain],Bandwidth[Cost],,,)</f>
        <v>5000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5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3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30" t="s">
        <v>148</v>
      </c>
      <c r="B73" s="153"/>
      <c r="C73" s="154"/>
      <c r="D73" s="57">
        <v>2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2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10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Electronics () 3, </v>
      </c>
      <c r="P73" s="138">
        <f>IF(AND(A73="Science ()",B73="all",D73&gt;0),(_xlfn.XLOOKUP(A73,StandardBrain[Name],StandardBrain[Cr],,,)*10^(D73))*8,IF(AND(B73="all",D73&gt;0),(_xlfn.XLOOKUP(A73,StandardBrain[Name],StandardBrain[Cr],,,)*10^(D73))*4,IF(A73="N/A",0,_xlfn.XLOOKUP(A73,StandardBrain[Name],StandardBrain[Cr],,,)*10^(D73))))</f>
        <v>10000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130</v>
      </c>
      <c r="B74" s="153"/>
      <c r="C74" s="154"/>
      <c r="D74" s="57">
        <v>2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2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10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Mechanic 3, </v>
      </c>
      <c r="P74" s="138">
        <f>IF(AND(A74="Science ()",B74="all",D74&gt;0),(_xlfn.XLOOKUP(A74,StandardBrain[Name],StandardBrain[Cr],,,)*10^(D74))*8,IF(AND(B74="all",D74&gt;0),(_xlfn.XLOOKUP(A74,StandardBrain[Name],StandardBrain[Cr],,,)*10^(D74))*4,IF(A74="N/A",0,_xlfn.XLOOKUP(A74,StandardBrain[Name],StandardBrain[Cr],,,)*10^(D74))))</f>
        <v>10000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135</v>
      </c>
      <c r="B75" s="153" t="s">
        <v>802</v>
      </c>
      <c r="C75" s="154"/>
      <c r="D75" s="57">
        <v>1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1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Profession (robotics) 2, </v>
      </c>
      <c r="P75" s="138">
        <f>IF(AND(A75="Science ()",B75="all",D75&gt;0),(_xlfn.XLOOKUP(A75,StandardBrain[Name],StandardBrain[Cr],,,)*10^(D75))*8,IF(AND(B75="all",D75&gt;0),(_xlfn.XLOOKUP(A75,StandardBrain[Name],StandardBrain[Cr],,,)*10^(D75))*4,IF(A75="N/A",0,_xlfn.XLOOKUP(A75,StandardBrain[Name],StandardBrain[Cr],,,)*10^(D75))))</f>
        <v>2000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,D76&gt;0),(_xlfn.XLOOKUP(A76,StandardBrain[Name],StandardBrain[Cr],,,)*10^(D76))*8,IF(AND(B76="all",D76&gt;0),(_xlfn.XLOOKUP(A76,StandardBrain[Name],StandardBrain[Cr],,,)*10^(D76))*4,IF(A76="N/A",0,_xlfn.XLOOKUP(A76,StandardBrain[Name],StandardBrain[Cr],,,)*10^(D76))))</f>
        <v>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,D77&gt;0),(_xlfn.XLOOKUP(A77,StandardBrain[Name],StandardBrain[Cr],,,)*10^(D77))*8,IF(AND(B77="all",D77&gt;0)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,D78&gt;0),(_xlfn.XLOOKUP(A78,StandardBrain[Name],StandardBrain[Cr],,,)*10^(D78))*8,IF(AND(B78="all",D78&gt;0)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,D79&gt;0),(_xlfn.XLOOKUP(A79,StandardBrain[Name],StandardBrain[Cr],,,)*10^(D79))*8,IF(AND(B79="all",D79&gt;0)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,D80&gt;0),(_xlfn.XLOOKUP(A80,StandardBrain[Name],StandardBrain[Cr],,,)*10^(D80))*8,IF(AND(B80="all",D80&gt;0)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,D81&gt;0),(_xlfn.XLOOKUP(A81,StandardBrain[Name],StandardBrain[Cr],,,)*10^(D81))*8,IF(AND(B81="all",D81&gt;0)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,D82&gt;0),(_xlfn.XLOOKUP(A82,StandardBrain[Name],StandardBrain[Cr],,,)*10^(D82))*8,IF(AND(B82="all",D82&gt;0)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,D83&gt;0),(_xlfn.XLOOKUP(A83,StandardBrain[Name],StandardBrain[Cr],,,)*10^(D83))*8,IF(AND(B83="all",D83&gt;0)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,D84&gt;0),(_xlfn.XLOOKUP(A84,StandardBrain[Name],StandardBrain[Cr],,,)*10^(D84))*8,IF(AND(B84="all",D84&gt;0)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,D85&gt;0),(_xlfn.XLOOKUP(A85,StandardBrain[Name],StandardBrain[Cr],,,)*10^(D85))*8,IF(AND(B85="all",D85&gt;0)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,D86&gt;0),(_xlfn.XLOOKUP(A86,StandardBrain[Name],StandardBrain[Cr],,,)*10^(D86))*8,IF(AND(B86="all",D86&gt;0)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,D87&gt;0),(_xlfn.XLOOKUP(A87,StandardBrain[Name],StandardBrain[Cr],,,)*10^(D87))*8,IF(AND(B87="all",D87&gt;0)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,D88&gt;0),(_xlfn.XLOOKUP(A88,StandardBrain[Name],StandardBrain[Cr],,,)*10^(D88))*8,IF(AND(B88="all",D88&gt;0)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,D89&gt;0),(_xlfn.XLOOKUP(A89,StandardBrain[Name],StandardBrain[Cr],,,)*10^(D89))*8,IF(AND(B89="all",D89&gt;0)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,D90&gt;0),(_xlfn.XLOOKUP(A90,StandardBrain[Name],StandardBrain[Cr],,,)*10^(D90))*8,IF(AND(B90="all",D90&gt;0)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117550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105700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2">
    <sortCondition ref="A36:A42"/>
  </sortState>
  <dataConsolidate/>
  <mergeCells count="111"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64:D64"/>
    <mergeCell ref="B65:D65"/>
    <mergeCell ref="B69:D69"/>
    <mergeCell ref="B70:D70"/>
    <mergeCell ref="B71:D71"/>
    <mergeCell ref="A59:D59"/>
    <mergeCell ref="H59:I59"/>
    <mergeCell ref="A60:D60"/>
    <mergeCell ref="H60:I60"/>
    <mergeCell ref="A61:D61"/>
    <mergeCell ref="H61:I61"/>
    <mergeCell ref="A55:D55"/>
    <mergeCell ref="H55:J55"/>
    <mergeCell ref="A56:D56"/>
    <mergeCell ref="H56:J56"/>
    <mergeCell ref="A57:D57"/>
    <mergeCell ref="H57:J57"/>
    <mergeCell ref="A52:D52"/>
    <mergeCell ref="H52:J52"/>
    <mergeCell ref="A53:D53"/>
    <mergeCell ref="H53:J53"/>
    <mergeCell ref="A54:D54"/>
    <mergeCell ref="H54:J54"/>
    <mergeCell ref="A49:D49"/>
    <mergeCell ref="H49:J49"/>
    <mergeCell ref="A50:D50"/>
    <mergeCell ref="H50:J50"/>
    <mergeCell ref="A51:D51"/>
    <mergeCell ref="H51:J51"/>
    <mergeCell ref="A38:D38"/>
    <mergeCell ref="H38:J38"/>
    <mergeCell ref="A39:D39"/>
    <mergeCell ref="H39:J39"/>
    <mergeCell ref="A46:D46"/>
    <mergeCell ref="H46:J46"/>
    <mergeCell ref="A47:D47"/>
    <mergeCell ref="H47:J47"/>
    <mergeCell ref="A48:D48"/>
    <mergeCell ref="H48:J48"/>
    <mergeCell ref="A43:D43"/>
    <mergeCell ref="H43:J43"/>
    <mergeCell ref="A44:D44"/>
    <mergeCell ref="H44:J44"/>
    <mergeCell ref="A45:D45"/>
    <mergeCell ref="H45:J45"/>
    <mergeCell ref="H33:J33"/>
    <mergeCell ref="A34:D34"/>
    <mergeCell ref="H34:J34"/>
    <mergeCell ref="H35:J35"/>
    <mergeCell ref="A36:D36"/>
    <mergeCell ref="H36:J36"/>
    <mergeCell ref="R21:Z76"/>
    <mergeCell ref="B29:D29"/>
    <mergeCell ref="H29:J29"/>
    <mergeCell ref="A30:D30"/>
    <mergeCell ref="H30:J30"/>
    <mergeCell ref="A31:D31"/>
    <mergeCell ref="H31:J31"/>
    <mergeCell ref="A32:D32"/>
    <mergeCell ref="H32:J32"/>
    <mergeCell ref="A33:D33"/>
    <mergeCell ref="A40:D40"/>
    <mergeCell ref="H40:J40"/>
    <mergeCell ref="A41:D41"/>
    <mergeCell ref="H41:J41"/>
    <mergeCell ref="A42:D42"/>
    <mergeCell ref="H42:J42"/>
    <mergeCell ref="A37:D37"/>
    <mergeCell ref="H37:J37"/>
    <mergeCell ref="G11:H11"/>
    <mergeCell ref="K11:L11"/>
    <mergeCell ref="S12:Z12"/>
    <mergeCell ref="G12:O12"/>
    <mergeCell ref="S13:Z13"/>
    <mergeCell ref="R14:R18"/>
    <mergeCell ref="S14:Z18"/>
    <mergeCell ref="G9:I9"/>
    <mergeCell ref="K9:M9"/>
    <mergeCell ref="S10:Z10"/>
    <mergeCell ref="G10:H10"/>
    <mergeCell ref="K10:M10"/>
    <mergeCell ref="S11:Z11"/>
    <mergeCell ref="G5:I5"/>
    <mergeCell ref="H6:N6"/>
    <mergeCell ref="G7:I7"/>
    <mergeCell ref="G8:I8"/>
    <mergeCell ref="K8:M8"/>
    <mergeCell ref="S9:Z9"/>
    <mergeCell ref="B2:D2"/>
    <mergeCell ref="F2:H2"/>
    <mergeCell ref="I2:M2"/>
    <mergeCell ref="G3:J3"/>
    <mergeCell ref="G4:I4"/>
    <mergeCell ref="K4:L4"/>
    <mergeCell ref="R7:R8"/>
    <mergeCell ref="S7:Z8"/>
  </mergeCells>
  <conditionalFormatting sqref="B14">
    <cfRule type="expression" dxfId="95" priority="6">
      <formula>ABS($J$14-6) &gt; 6</formula>
    </cfRule>
  </conditionalFormatting>
  <conditionalFormatting sqref="E2">
    <cfRule type="expression" dxfId="94" priority="4">
      <formula>$E$2&lt;0</formula>
    </cfRule>
  </conditionalFormatting>
  <conditionalFormatting sqref="E15:E17">
    <cfRule type="expression" dxfId="93" priority="1">
      <formula>AND($B$4=0,E15&lt;0)</formula>
    </cfRule>
  </conditionalFormatting>
  <conditionalFormatting sqref="K5 K30:K34 K36:K57 K59:K61 K64:K67 K73:K90">
    <cfRule type="expression" dxfId="92" priority="5">
      <formula>K5&gt;$O$2</formula>
    </cfRule>
  </conditionalFormatting>
  <conditionalFormatting sqref="L57">
    <cfRule type="expression" dxfId="91" priority="2">
      <formula>L57&gt;$O$2</formula>
    </cfRule>
  </conditionalFormatting>
  <conditionalFormatting sqref="L67">
    <cfRule type="expression" dxfId="90" priority="3">
      <formula>L67&lt;0</formula>
    </cfRule>
  </conditionalFormatting>
  <dataValidations count="20">
    <dataValidation type="whole" allowBlank="1" showInputMessage="1" showErrorMessage="1" error="Total Armour cannot exceed Maximum" sqref="B7" xr:uid="{7901EB56-6496-44C1-889D-00CEC0F9393E}">
      <formula1>-1</formula1>
      <formula2>L7-MID(A7,18,1)</formula2>
    </dataValidation>
    <dataValidation type="whole" allowBlank="1" showInputMessage="1" showErrorMessage="1" error="Max DEX = TL+3" sqref="K19:K28" xr:uid="{AF593E0E-86F7-4710-ACDD-11D0CE2ECCD8}">
      <formula1>0</formula1>
      <formula2>J19-D19</formula2>
    </dataValidation>
    <dataValidation type="whole" allowBlank="1" showInputMessage="1" showErrorMessage="1" error="Max STR = Lesser of Size + TL or SIZE X 4" sqref="G19:G28" xr:uid="{76F9322F-6793-46D9-992E-6A26E37F890F}">
      <formula1>0</formula1>
      <formula2>F19-C19</formula2>
    </dataValidation>
    <dataValidation type="whole" allowBlank="1" showInputMessage="1" showErrorMessage="1" sqref="E13:E14" xr:uid="{37C7800E-3DC8-4F18-9132-3AC797AED7E6}">
      <formula1>0</formula1>
      <formula2>#REF!/2</formula2>
    </dataValidation>
    <dataValidation type="whole" allowBlank="1" showInputMessage="1" showErrorMessage="1" sqref="C14:D14" xr:uid="{BC6CEC12-294F-4DA6-8948-5D75F0DE77D2}">
      <formula1>0</formula1>
      <formula2>D15/2</formula2>
    </dataValidation>
    <dataValidation type="whole" allowBlank="1" showInputMessage="1" showErrorMessage="1" sqref="C13:D13" xr:uid="{F8536B26-26DE-4308-8606-684408991B72}">
      <formula1>0</formula1>
      <formula2>D5/2</formula2>
    </dataValidation>
    <dataValidation type="whole" allowBlank="1" showInputMessage="1" showErrorMessage="1" sqref="C11:D11" xr:uid="{D97E906A-1021-42FF-B9C8-B72AD50E55EE}">
      <formula1>0</formula1>
      <formula2>D4/2</formula2>
    </dataValidation>
    <dataValidation type="whole" allowBlank="1" showInputMessage="1" showErrorMessage="1" error="Must be whole number between -6 and +12" sqref="B14" xr:uid="{587EAF16-AB6A-4869-A85F-0D9F9753CBB3}">
      <formula1>-6</formula1>
      <formula2>12</formula2>
    </dataValidation>
    <dataValidation type="list" allowBlank="1" showInputMessage="1" showErrorMessage="1" sqref="B16" xr:uid="{67ACAE1D-7FFF-46CC-9CB5-E4E4220827C7}">
      <formula1>"No,1X,2X,3X"</formula1>
    </dataValidation>
    <dataValidation type="list" allowBlank="1" showInputMessage="1" showErrorMessage="1" sqref="B15" xr:uid="{6887FF4C-2E87-4B29-8B53-E7278E54EB55}">
      <formula1>"FALSE,TRUE"</formula1>
    </dataValidation>
    <dataValidation type="list" allowBlank="1" showInputMessage="1" showErrorMessage="1" sqref="B66 D73:D90" xr:uid="{9D23BC6E-9870-4C77-AC89-B634DA599B3E}">
      <formula1>"0,1,2,3"</formula1>
    </dataValidation>
    <dataValidation type="list" allowBlank="1" showInputMessage="1" showErrorMessage="1" sqref="B13" xr:uid="{8F6F7655-4BB0-4903-B0A9-9902C5153DDD}">
      <formula1>"0,1,2,3,4"</formula1>
    </dataValidation>
    <dataValidation type="list" allowBlank="1" showInputMessage="1" showErrorMessage="1" sqref="B27:B28 B67 B8" xr:uid="{34A7B90F-D0E9-4286-AB4C-F12B63DD3435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9EEA1781-376F-4FD4-AF7B-10CEE1A61B96}">
      <formula1>0</formula1>
      <formula2>$B$4+2</formula2>
    </dataValidation>
    <dataValidation type="list" allowBlank="1" showInputMessage="1" showErrorMessage="1" sqref="O2" xr:uid="{4D9B2F88-1EA1-4F40-BFE8-41FF9A25CA27}">
      <formula1>"7,8,9,10,11,12,13,14,15,16,17,18"</formula1>
    </dataValidation>
    <dataValidation type="list" allowBlank="1" showInputMessage="1" showErrorMessage="1" sqref="B4" xr:uid="{BE14D254-6D46-4261-ADB2-9CA2B2CD0FFE}">
      <formula1>"0,1,2,3,4,5,6,7,8"</formula1>
    </dataValidation>
    <dataValidation type="list" allowBlank="1" showInputMessage="1" showErrorMessage="1" error="Maximum = 3" sqref="B9" xr:uid="{78319A21-DEDE-4AF7-82E8-F3A0D1587ED3}">
      <formula1>"0,1,2,3"</formula1>
    </dataValidation>
    <dataValidation type="whole" allowBlank="1" showInputMessage="1" showErrorMessage="1" sqref="E11" xr:uid="{928D0C00-4830-459A-BDD8-D3877721703A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F5DAC579-9A31-4728-89C7-D57BB9771CCD}">
      <formula1>0</formula1>
      <formula2>E4/2</formula2>
    </dataValidation>
    <dataValidation type="whole" allowBlank="1" showInputMessage="1" showErrorMessage="1" error="Must be a negative number no less than a 50% of the base hits" sqref="B11" xr:uid="{EA1A67F0-395F-4589-9944-9BE5CC49D66D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FE1C9E26-5800-4321-88FC-B1DD8FFDBE3B}">
          <x14:formula1>
            <xm:f>Brains!$B$3:$B$19</xm:f>
          </x14:formula1>
          <xm:sqref>B64</xm:sqref>
        </x14:dataValidation>
        <x14:dataValidation type="list" allowBlank="1" showInputMessage="1" showErrorMessage="1" xr:uid="{4254609A-B8EB-4D80-BC97-3D85E5E57B7B}">
          <x14:formula1>
            <xm:f>Brains!$K$3:$K$16</xm:f>
          </x14:formula1>
          <xm:sqref>B65</xm:sqref>
        </x14:dataValidation>
        <x14:dataValidation type="list" allowBlank="1" showInputMessage="1" showErrorMessage="1" xr:uid="{01977E12-262E-4B08-AA61-1C62FAEAD1F3}">
          <x14:formula1>
            <xm:f>Packages!$B$29:$B$68</xm:f>
          </x14:formula1>
          <xm:sqref>A73:A90</xm:sqref>
        </x14:dataValidation>
        <x14:dataValidation type="list" allowBlank="1" showInputMessage="1" showErrorMessage="1" xr:uid="{9C28EDDF-8CE8-4C4A-A178-9967B14BB88C}">
          <x14:formula1>
            <xm:f>Options!$C$9:$C$251</xm:f>
          </x14:formula1>
          <xm:sqref>A36:A56</xm:sqref>
        </x14:dataValidation>
        <x14:dataValidation type="list" allowBlank="1" showInputMessage="1" showErrorMessage="1" xr:uid="{8048A4E1-E669-4164-A6BC-1E4A2264BB5A}">
          <x14:formula1>
            <xm:f>Packages!$B$23:$B$25</xm:f>
          </x14:formula1>
          <xm:sqref>B71</xm:sqref>
        </x14:dataValidation>
        <x14:dataValidation type="list" allowBlank="1" showInputMessage="1" showErrorMessage="1" xr:uid="{30254C1D-D432-4F78-8E30-8CCD631BC54A}">
          <x14:formula1>
            <xm:f>Packages!$B$3:$B$7</xm:f>
          </x14:formula1>
          <xm:sqref>B69</xm:sqref>
        </x14:dataValidation>
        <x14:dataValidation type="list" allowBlank="1" showInputMessage="1" showErrorMessage="1" xr:uid="{85BC3C5E-33A2-4CFE-9E63-AACEE2B6294E}">
          <x14:formula1>
            <xm:f>Packages!$B$11:$B$19</xm:f>
          </x14:formula1>
          <xm:sqref>B70</xm:sqref>
        </x14:dataValidation>
        <x14:dataValidation type="list" allowBlank="1" showInputMessage="1" showErrorMessage="1" xr:uid="{D994704C-A458-45F2-AF6A-039B5A6EEA9B}">
          <x14:formula1>
            <xm:f>Chassis!$H$3:$H$13</xm:f>
          </x14:formula1>
          <xm:sqref>B17 B5</xm:sqref>
        </x14:dataValidation>
        <x14:dataValidation type="list" allowBlank="1" showInputMessage="1" showErrorMessage="1" xr:uid="{10ED3CA3-8C20-4394-BAA2-8CB19183A4B3}">
          <x14:formula1>
            <xm:f>Options!$C$9:$C$71</xm:f>
          </x14:formula1>
          <xm:sqref>A30:A34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C40E-E415-4B87-BB35-7A24A2167558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 t="s">
        <v>837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220100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5</v>
      </c>
      <c r="E4" s="114">
        <f>_xlfn.XLOOKUP(B4,Size[Size],Size[Base Slots],,,)</f>
        <v>16</v>
      </c>
      <c r="F4" s="37">
        <f>B4+O2</f>
        <v>20</v>
      </c>
      <c r="G4" s="168" t="s">
        <v>299</v>
      </c>
      <c r="H4" s="168"/>
      <c r="I4" s="169"/>
      <c r="J4" s="108">
        <f>_xlfn.XLOOKUP(B4,Size[Size],Size[Base hits],,,)</f>
        <v>20</v>
      </c>
      <c r="K4" s="170" t="s">
        <v>727</v>
      </c>
      <c r="L4" s="171"/>
      <c r="M4" s="52">
        <f>_xlfn.XLOOKUP(B4,Size[Size],Size[Basic Cost],,,)</f>
        <v>1000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/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10000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Advanced Mechanic Droid</v>
      </c>
      <c r="S6" s="143">
        <f>M11</f>
        <v>20</v>
      </c>
      <c r="T6" s="143" t="str">
        <f>B5</f>
        <v>Walker</v>
      </c>
      <c r="U6" s="143" t="str">
        <f>_xlfn.CONCAT(J14," m")</f>
        <v>5 m</v>
      </c>
      <c r="V6" s="144">
        <f>O2</f>
        <v>15</v>
      </c>
      <c r="W6" s="147">
        <f>P91</f>
        <v>244650</v>
      </c>
      <c r="X6" s="151">
        <f>IF(I2="Standard Design",0.1,0)</f>
        <v>0.1</v>
      </c>
      <c r="Y6" s="152">
        <v>2</v>
      </c>
      <c r="Z6" s="147">
        <f>FLOOR(P91*(1-X6),100)</f>
        <v>220100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9" t="str">
        <f>_xlfn.CONCAT(O9,O13,O19:O28,O30:O34,O36:O57,O64,O69:O71,O73:O90)</f>
        <v xml:space="preserve">Athletics (endurance) 1, Athletics (strength) 1, Athletics (strength) 1, Electronics () 3, Mechanic 4, Profession (robotics) 3, </v>
      </c>
      <c r="T7" s="240"/>
      <c r="U7" s="240"/>
      <c r="V7" s="240"/>
      <c r="W7" s="240"/>
      <c r="X7" s="240"/>
      <c r="Y7" s="240"/>
      <c r="Z7" s="241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144</v>
      </c>
      <c r="K8" s="188" t="s">
        <v>64</v>
      </c>
      <c r="L8" s="189"/>
      <c r="M8" s="190"/>
      <c r="P8" s="136">
        <f>B8*0.5*P5</f>
        <v>0</v>
      </c>
      <c r="R8" s="215"/>
      <c r="S8" s="242"/>
      <c r="T8" s="243"/>
      <c r="U8" s="243"/>
      <c r="V8" s="243"/>
      <c r="W8" s="243"/>
      <c r="X8" s="243"/>
      <c r="Y8" s="243"/>
      <c r="Z8" s="244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-2</v>
      </c>
      <c r="F9" s="37"/>
      <c r="G9" s="179" t="s">
        <v>302</v>
      </c>
      <c r="H9" s="179"/>
      <c r="I9" s="180"/>
      <c r="J9" s="51">
        <f>J8*(1+B9)</f>
        <v>288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1000</v>
      </c>
      <c r="R9" s="115" t="s">
        <v>320</v>
      </c>
      <c r="S9" s="182" t="str">
        <f>_xlfn.CONCAT(A59," (",J59," ",N59,") ",A60," (",J60," ",N60,") ",A61," (",J61," ",N61,") ")</f>
        <v xml:space="preserve">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9 DEX 9)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20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288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(idle),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Very 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288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(improved), Visual Spectrum Sensor, Voder Speaker, Wireless Data Link, Drone Interface, Electronics Toolkit (advanced), Gecko Grippers, Industrial Cleaning Equipment (small), Mechanical Toolkit (advanced), Quick Charger, Storage Compartment (standard), 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5</v>
      </c>
      <c r="C19" s="60">
        <f t="shared" ref="C19:C26" si="0">IF(B19=0,0,B19*2-1)</f>
        <v>9</v>
      </c>
      <c r="D19" s="95">
        <f>ROUNDUP($O$2/2+1,0)</f>
        <v>9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18</v>
      </c>
      <c r="G19" s="16"/>
      <c r="H19" s="60">
        <f t="shared" ref="H19:H28" si="2">C19+G19</f>
        <v>9</v>
      </c>
      <c r="I19" s="61">
        <f t="shared" ref="I19:I28" si="3">IF(H19&gt;17,4,IF(H19&gt;14,3,IF(H19&gt;11,2,IF(H19&gt;8,1,IF(H19&gt;5,0,IF(H19&gt;2,-1,-2))))))</f>
        <v>1</v>
      </c>
      <c r="J19" s="53">
        <f t="shared" ref="J19:J28" si="4">$O$2+3</f>
        <v>18</v>
      </c>
      <c r="K19" s="16"/>
      <c r="L19" s="60">
        <f t="shared" ref="L19:L28" si="5">D19+K19</f>
        <v>9</v>
      </c>
      <c r="M19" s="61">
        <f>IF(L19&gt;20,5,IF(L19&gt;17,4,IF(L19&gt;14,3,IF(L19&gt;11,2,IF(L19&gt;8,1,IF(L19&gt;5,0,IF(L19&gt;2,-1,-2)))))))</f>
        <v>1</v>
      </c>
      <c r="O19" s="12" t="str">
        <f>IF(I19&gt;0,_xlfn.CONCAT("Athletics (strength) ",I19,", "),"")</f>
        <v xml:space="preserve">Athletics (strength) 1, </v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5</v>
      </c>
      <c r="C20" s="6">
        <f t="shared" si="0"/>
        <v>9</v>
      </c>
      <c r="D20" s="96">
        <f t="shared" ref="D20:D26" si="6">IF(B20=0,0,ROUNDUP($O$2/2+1,0))</f>
        <v>9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18</v>
      </c>
      <c r="G20" s="16"/>
      <c r="H20" s="6">
        <f t="shared" si="2"/>
        <v>9</v>
      </c>
      <c r="I20" s="21">
        <f t="shared" si="3"/>
        <v>1</v>
      </c>
      <c r="J20" s="53">
        <f t="shared" si="4"/>
        <v>18</v>
      </c>
      <c r="K20" s="16"/>
      <c r="L20" s="6">
        <f t="shared" si="5"/>
        <v>9</v>
      </c>
      <c r="M20" s="61">
        <f t="shared" ref="M20:M28" si="7">IF(L20&gt;20,5,IF(L20&gt;17,4,IF(L20&gt;14,3,IF(L20&gt;11,2,IF(L20&gt;8,1,IF(L20&gt;5,0,IF(L20&gt;2,-1,-2)))))))</f>
        <v>1</v>
      </c>
      <c r="O20" s="12" t="str">
        <f t="shared" ref="O20:O28" si="8">IF(I20&gt;0,_xlfn.CONCAT("Athletics (strength) ",I20,", "),"")</f>
        <v xml:space="preserve">Athletics (strength) 1, </v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464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8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262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3 max skill</v>
      </c>
      <c r="I37" s="194"/>
      <c r="J37" s="194"/>
      <c r="K37" s="43">
        <f>_xlfn.XLOOKUP(A37,OptionsTable[Name],OptionsTable[TL],,,)</f>
        <v>12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8000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291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0</v>
      </c>
      <c r="F38" s="37">
        <f>IF(_xlfn.XLOOKUP(A38,OptionsTable[Name],OptionsTable[xS],,,)=FALSE,1,IF($B$4&gt;0,$E$4,1))</f>
        <v>16</v>
      </c>
      <c r="G38" s="57"/>
      <c r="H38" s="193" t="str">
        <f>IF(_xlfn.XLOOKUP(A38,OptionsTable[Name],OptionsTable[Notes],,,)="","",_xlfn.XLOOKUP(A38,OptionsTable[Name],OptionsTable[Notes],,,))</f>
        <v/>
      </c>
      <c r="I38" s="194"/>
      <c r="J38" s="194"/>
      <c r="K38" s="43">
        <f>_xlfn.XLOOKUP(A38,OptionsTable[Name],OptionsTable[TL],,,)</f>
        <v>9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8000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426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-2</v>
      </c>
      <c r="F39" s="37">
        <f>IF(_xlfn.XLOOKUP(A39,OptionsTable[Name],OptionsTable[xS],,,)=FALSE,1,IF($B$4&gt;0,$E$4,1))</f>
        <v>1</v>
      </c>
      <c r="G39" s="57"/>
      <c r="H39" s="193" t="str">
        <f>IF(_xlfn.XLOOKUP(A39,OptionsTable[Name],OptionsTable[Notes],,,)="","",_xlfn.XLOOKUP(A39,OptionsTable[Name],OptionsTable[Notes],,,))</f>
        <v>10 m^2 / hour</v>
      </c>
      <c r="I39" s="194"/>
      <c r="J39" s="194"/>
      <c r="K39" s="43">
        <f>_xlfn.XLOOKUP(A39,OptionsTable[Name],OptionsTable[TL],,,)</f>
        <v>5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500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269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-2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12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4000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 t="s">
        <v>641</v>
      </c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-1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>1 hour recharge</v>
      </c>
      <c r="I41" s="194"/>
      <c r="J41" s="194"/>
      <c r="K41" s="43">
        <f>_xlfn.XLOOKUP(A41,OptionsTable[Name],OptionsTable[TL],,,)</f>
        <v>8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200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 t="s">
        <v>471</v>
      </c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-7</v>
      </c>
      <c r="F42" s="37">
        <f>IF(_xlfn.XLOOKUP(A42,OptionsTable[Name],OptionsTable[xS],,,)=FALSE,1,IF($B$4&gt;0,$E$4,1))</f>
        <v>1</v>
      </c>
      <c r="G42" s="57">
        <v>7</v>
      </c>
      <c r="H42" s="193" t="str">
        <f>IF(_xlfn.XLOOKUP(A42,OptionsTable[Name],OptionsTable[Notes],,,)="","",_xlfn.XLOOKUP(A42,OptionsTable[Name],OptionsTable[Notes],,,))</f>
        <v>2 kg or litres / slot</v>
      </c>
      <c r="I42" s="194"/>
      <c r="J42" s="194"/>
      <c r="K42" s="43">
        <f>_xlfn.XLOOKUP(A42,OptionsTable[Name],OptionsTable[TL],,,)</f>
        <v>6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350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/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>
        <v>0</v>
      </c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81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9</v>
      </c>
      <c r="I64" s="31">
        <f>IF(H64&gt;17,4,IF(H64&gt;14,3,IF(H64&gt;11,2,IF(H64&gt;8,1,IF(H64&gt;5,0,IF(H64&gt;2,-1,-2))))))</f>
        <v>1</v>
      </c>
      <c r="J64" s="1">
        <f>_xlfn.XLOOKUP(B64,Brains[Programming/Control],Brains[Computer/X],,,)</f>
        <v>3</v>
      </c>
      <c r="K64" s="43">
        <f>_xlfn.XLOOKUP(B64,Brains[Programming/Control],Brains[TL],,,)</f>
        <v>12</v>
      </c>
      <c r="L64">
        <f>_xlfn.XLOOKUP(B64,Brains[Programming/Control],Brains[Computer/X],,,)</f>
        <v>3</v>
      </c>
      <c r="M64" s="12" t="str">
        <f>_xlfn.XLOOKUP(B64,Brains[Programming/Control],Brains[Base capability (built-in no bandwidth, cumulative)],,,)</f>
        <v>Intellect Interface, Expert/2, Security/2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62500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159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12</v>
      </c>
      <c r="L65">
        <f>_xlfn.XLOOKUP(B65,Bandwidth[Minimum Base Brain],Bandwidth[Bandwidth],,,)+L64</f>
        <v>7</v>
      </c>
      <c r="M65" t="s">
        <v>310</v>
      </c>
      <c r="P65" s="136">
        <f>_xlfn.XLOOKUP(B65,Bandwidth[Minimum Base Brain],Bandwidth[Cost],,,)</f>
        <v>20000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7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3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30" t="s">
        <v>148</v>
      </c>
      <c r="B73" s="153"/>
      <c r="C73" s="154"/>
      <c r="D73" s="57">
        <v>2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2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10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Electronics () 3, </v>
      </c>
      <c r="P73" s="138">
        <f>IF(AND(A73="Science ()",B73="all",D73&gt;0),(_xlfn.XLOOKUP(A73,StandardBrain[Name],StandardBrain[Cr],,,)*10^(D73))*8,IF(AND(B73="all",D73&gt;0),(_xlfn.XLOOKUP(A73,StandardBrain[Name],StandardBrain[Cr],,,)*10^(D73))*4,IF(A73="N/A",0,_xlfn.XLOOKUP(A73,StandardBrain[Name],StandardBrain[Cr],,,)*10^(D73))))</f>
        <v>10000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130</v>
      </c>
      <c r="B74" s="153"/>
      <c r="C74" s="154"/>
      <c r="D74" s="57">
        <v>3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3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11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Mechanic 4, </v>
      </c>
      <c r="P74" s="138">
        <f>IF(AND(A74="Science ()",B74="all",D74&gt;0),(_xlfn.XLOOKUP(A74,StandardBrain[Name],StandardBrain[Cr],,,)*10^(D74))*8,IF(AND(B74="all",D74&gt;0),(_xlfn.XLOOKUP(A74,StandardBrain[Name],StandardBrain[Cr],,,)*10^(D74))*4,IF(A74="N/A",0,_xlfn.XLOOKUP(A74,StandardBrain[Name],StandardBrain[Cr],,,)*10^(D74))))</f>
        <v>100000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135</v>
      </c>
      <c r="B75" s="153" t="s">
        <v>802</v>
      </c>
      <c r="C75" s="154"/>
      <c r="D75" s="57">
        <v>2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2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11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Profession (robotics) 3, </v>
      </c>
      <c r="P75" s="138">
        <f>IF(AND(A75="Science ()",B75="all",D75&gt;0),(_xlfn.XLOOKUP(A75,StandardBrain[Name],StandardBrain[Cr],,,)*10^(D75))*8,IF(AND(B75="all",D75&gt;0),(_xlfn.XLOOKUP(A75,StandardBrain[Name],StandardBrain[Cr],,,)*10^(D75))*4,IF(A75="N/A",0,_xlfn.XLOOKUP(A75,StandardBrain[Name],StandardBrain[Cr],,,)*10^(D75))))</f>
        <v>20000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,D76&gt;0),(_xlfn.XLOOKUP(A76,StandardBrain[Name],StandardBrain[Cr],,,)*10^(D76))*8,IF(AND(B76="all",D76&gt;0),(_xlfn.XLOOKUP(A76,StandardBrain[Name],StandardBrain[Cr],,,)*10^(D76))*4,IF(A76="N/A",0,_xlfn.XLOOKUP(A76,StandardBrain[Name],StandardBrain[Cr],,,)*10^(D76))))</f>
        <v>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,D77&gt;0),(_xlfn.XLOOKUP(A77,StandardBrain[Name],StandardBrain[Cr],,,)*10^(D77))*8,IF(AND(B77="all",D77&gt;0)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,D78&gt;0),(_xlfn.XLOOKUP(A78,StandardBrain[Name],StandardBrain[Cr],,,)*10^(D78))*8,IF(AND(B78="all",D78&gt;0)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,D79&gt;0),(_xlfn.XLOOKUP(A79,StandardBrain[Name],StandardBrain[Cr],,,)*10^(D79))*8,IF(AND(B79="all",D79&gt;0)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,D80&gt;0),(_xlfn.XLOOKUP(A80,StandardBrain[Name],StandardBrain[Cr],,,)*10^(D80))*8,IF(AND(B80="all",D80&gt;0)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,D81&gt;0),(_xlfn.XLOOKUP(A81,StandardBrain[Name],StandardBrain[Cr],,,)*10^(D81))*8,IF(AND(B81="all",D81&gt;0)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,D82&gt;0),(_xlfn.XLOOKUP(A82,StandardBrain[Name],StandardBrain[Cr],,,)*10^(D82))*8,IF(AND(B82="all",D82&gt;0)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,D83&gt;0),(_xlfn.XLOOKUP(A83,StandardBrain[Name],StandardBrain[Cr],,,)*10^(D83))*8,IF(AND(B83="all",D83&gt;0)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,D84&gt;0),(_xlfn.XLOOKUP(A84,StandardBrain[Name],StandardBrain[Cr],,,)*10^(D84))*8,IF(AND(B84="all",D84&gt;0)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,D85&gt;0),(_xlfn.XLOOKUP(A85,StandardBrain[Name],StandardBrain[Cr],,,)*10^(D85))*8,IF(AND(B85="all",D85&gt;0)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,D86&gt;0),(_xlfn.XLOOKUP(A86,StandardBrain[Name],StandardBrain[Cr],,,)*10^(D86))*8,IF(AND(B86="all",D86&gt;0)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,D87&gt;0),(_xlfn.XLOOKUP(A87,StandardBrain[Name],StandardBrain[Cr],,,)*10^(D87))*8,IF(AND(B87="all",D87&gt;0)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,D88&gt;0),(_xlfn.XLOOKUP(A88,StandardBrain[Name],StandardBrain[Cr],,,)*10^(D88))*8,IF(AND(B88="all",D88&gt;0)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,D89&gt;0),(_xlfn.XLOOKUP(A89,StandardBrain[Name],StandardBrain[Cr],,,)*10^(D89))*8,IF(AND(B89="all",D89&gt;0)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,D90&gt;0),(_xlfn.XLOOKUP(A90,StandardBrain[Name],StandardBrain[Cr],,,)*10^(D90))*8,IF(AND(B90="all",D90&gt;0)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244650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220100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2">
    <sortCondition ref="A36:A42"/>
  </sortState>
  <dataConsolidate/>
  <mergeCells count="111"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64:D64"/>
    <mergeCell ref="B65:D65"/>
    <mergeCell ref="B69:D69"/>
    <mergeCell ref="B70:D70"/>
    <mergeCell ref="B71:D71"/>
    <mergeCell ref="A59:D59"/>
    <mergeCell ref="H59:I59"/>
    <mergeCell ref="A60:D60"/>
    <mergeCell ref="H60:I60"/>
    <mergeCell ref="A61:D61"/>
    <mergeCell ref="H61:I61"/>
    <mergeCell ref="A55:D55"/>
    <mergeCell ref="H55:J55"/>
    <mergeCell ref="A56:D56"/>
    <mergeCell ref="H56:J56"/>
    <mergeCell ref="A57:D57"/>
    <mergeCell ref="H57:J57"/>
    <mergeCell ref="A52:D52"/>
    <mergeCell ref="H52:J52"/>
    <mergeCell ref="A53:D53"/>
    <mergeCell ref="H53:J53"/>
    <mergeCell ref="A54:D54"/>
    <mergeCell ref="H54:J54"/>
    <mergeCell ref="A49:D49"/>
    <mergeCell ref="H49:J49"/>
    <mergeCell ref="A50:D50"/>
    <mergeCell ref="H50:J50"/>
    <mergeCell ref="A51:D51"/>
    <mergeCell ref="H51:J51"/>
    <mergeCell ref="A38:D38"/>
    <mergeCell ref="H38:J38"/>
    <mergeCell ref="A39:D39"/>
    <mergeCell ref="H39:J39"/>
    <mergeCell ref="A46:D46"/>
    <mergeCell ref="H46:J46"/>
    <mergeCell ref="A47:D47"/>
    <mergeCell ref="H47:J47"/>
    <mergeCell ref="A48:D48"/>
    <mergeCell ref="H48:J48"/>
    <mergeCell ref="A43:D43"/>
    <mergeCell ref="H43:J43"/>
    <mergeCell ref="A44:D44"/>
    <mergeCell ref="H44:J44"/>
    <mergeCell ref="A45:D45"/>
    <mergeCell ref="H45:J45"/>
    <mergeCell ref="H33:J33"/>
    <mergeCell ref="A34:D34"/>
    <mergeCell ref="H34:J34"/>
    <mergeCell ref="H35:J35"/>
    <mergeCell ref="A36:D36"/>
    <mergeCell ref="H36:J36"/>
    <mergeCell ref="R21:Z76"/>
    <mergeCell ref="B29:D29"/>
    <mergeCell ref="H29:J29"/>
    <mergeCell ref="A30:D30"/>
    <mergeCell ref="H30:J30"/>
    <mergeCell ref="A31:D31"/>
    <mergeCell ref="H31:J31"/>
    <mergeCell ref="A32:D32"/>
    <mergeCell ref="H32:J32"/>
    <mergeCell ref="A33:D33"/>
    <mergeCell ref="A40:D40"/>
    <mergeCell ref="H40:J40"/>
    <mergeCell ref="A41:D41"/>
    <mergeCell ref="H41:J41"/>
    <mergeCell ref="A42:D42"/>
    <mergeCell ref="H42:J42"/>
    <mergeCell ref="A37:D37"/>
    <mergeCell ref="H37:J37"/>
    <mergeCell ref="G11:H11"/>
    <mergeCell ref="K11:L11"/>
    <mergeCell ref="S12:Z12"/>
    <mergeCell ref="G12:O12"/>
    <mergeCell ref="S13:Z13"/>
    <mergeCell ref="R14:R18"/>
    <mergeCell ref="S14:Z18"/>
    <mergeCell ref="G9:I9"/>
    <mergeCell ref="K9:M9"/>
    <mergeCell ref="S10:Z10"/>
    <mergeCell ref="G10:H10"/>
    <mergeCell ref="K10:M10"/>
    <mergeCell ref="S11:Z11"/>
    <mergeCell ref="G5:I5"/>
    <mergeCell ref="H6:N6"/>
    <mergeCell ref="G7:I7"/>
    <mergeCell ref="G8:I8"/>
    <mergeCell ref="K8:M8"/>
    <mergeCell ref="S9:Z9"/>
    <mergeCell ref="B2:D2"/>
    <mergeCell ref="F2:H2"/>
    <mergeCell ref="I2:M2"/>
    <mergeCell ref="G3:J3"/>
    <mergeCell ref="G4:I4"/>
    <mergeCell ref="K4:L4"/>
    <mergeCell ref="R7:R8"/>
    <mergeCell ref="S7:Z8"/>
  </mergeCells>
  <conditionalFormatting sqref="B14">
    <cfRule type="expression" dxfId="89" priority="6">
      <formula>ABS($J$14-6) &gt; 6</formula>
    </cfRule>
  </conditionalFormatting>
  <conditionalFormatting sqref="E2">
    <cfRule type="expression" dxfId="88" priority="4">
      <formula>$E$2&lt;0</formula>
    </cfRule>
  </conditionalFormatting>
  <conditionalFormatting sqref="E15:E17">
    <cfRule type="expression" dxfId="87" priority="1">
      <formula>AND($B$4=0,E15&lt;0)</formula>
    </cfRule>
  </conditionalFormatting>
  <conditionalFormatting sqref="K5 K30:K34 K36:K57 K59:K61 K64:K67 K73:K90">
    <cfRule type="expression" dxfId="86" priority="5">
      <formula>K5&gt;$O$2</formula>
    </cfRule>
  </conditionalFormatting>
  <conditionalFormatting sqref="L57">
    <cfRule type="expression" dxfId="85" priority="2">
      <formula>L57&gt;$O$2</formula>
    </cfRule>
  </conditionalFormatting>
  <conditionalFormatting sqref="L67">
    <cfRule type="expression" dxfId="84" priority="3">
      <formula>L67&lt;0</formula>
    </cfRule>
  </conditionalFormatting>
  <dataValidations count="20">
    <dataValidation type="whole" allowBlank="1" showInputMessage="1" showErrorMessage="1" error="Must be a negative number no less than a 50% of the base hits" sqref="B11" xr:uid="{C03106EA-AE4B-4F69-837D-2CFFCA8AAD1D}">
      <formula1>-J4/2</formula1>
      <formula2>0</formula2>
    </dataValidation>
    <dataValidation type="whole" allowBlank="1" showInputMessage="1" showErrorMessage="1" error="Must be whole number. No more than 50% of slots may be used for Resiliency" sqref="B10" xr:uid="{64558F7B-5EC0-47E7-AD14-C2920938224F}">
      <formula1>0</formula1>
      <formula2>E4/2</formula2>
    </dataValidation>
    <dataValidation type="whole" allowBlank="1" showInputMessage="1" showErrorMessage="1" sqref="E11" xr:uid="{E847AD40-E80A-4D1A-B435-111DFE4E1B26}">
      <formula1>0</formula1>
      <formula2>J4/2</formula2>
    </dataValidation>
    <dataValidation type="list" allowBlank="1" showInputMessage="1" showErrorMessage="1" error="Maximum = 3" sqref="B9" xr:uid="{A230D8E4-21F0-4B19-B588-F73264848624}">
      <formula1>"0,1,2,3"</formula1>
    </dataValidation>
    <dataValidation type="list" allowBlank="1" showInputMessage="1" showErrorMessage="1" sqref="B4" xr:uid="{949A7DC3-C690-4FFF-A241-0680217BE43C}">
      <formula1>"0,1,2,3,4,5,6,7,8"</formula1>
    </dataValidation>
    <dataValidation type="list" allowBlank="1" showInputMessage="1" showErrorMessage="1" sqref="O2" xr:uid="{6F979191-A271-48DC-BCB7-C20A4CDE0AE7}">
      <formula1>"7,8,9,10,11,12,13,14,15,16,17,18"</formula1>
    </dataValidation>
    <dataValidation type="whole" allowBlank="1" showInputMessage="1" showErrorMessage="1" error="Max Manipulator Size = Chassis Size +2_x000a_Min Manipulator Size = 0_x000a_Whole Numbers Only" sqref="B19:B26" xr:uid="{A9CF819C-BA62-45B6-B5CF-0518A24EDA7E}">
      <formula1>0</formula1>
      <formula2>$B$4+2</formula2>
    </dataValidation>
    <dataValidation type="list" allowBlank="1" showInputMessage="1" showErrorMessage="1" sqref="B27:B28 B67 B8" xr:uid="{A2DFAA87-A2A8-4EF8-8D63-692D6E739663}">
      <formula1>"TRUE,FALSE"</formula1>
    </dataValidation>
    <dataValidation type="list" allowBlank="1" showInputMessage="1" showErrorMessage="1" sqref="B13" xr:uid="{F16F3404-CAD9-493D-9537-6A3A834B4D51}">
      <formula1>"0,1,2,3,4"</formula1>
    </dataValidation>
    <dataValidation type="list" allowBlank="1" showInputMessage="1" showErrorMessage="1" sqref="B66 D73:D90" xr:uid="{8BD1EC65-EA5B-4F3B-AB3F-FEE377F4D187}">
      <formula1>"0,1,2,3"</formula1>
    </dataValidation>
    <dataValidation type="list" allowBlank="1" showInputMessage="1" showErrorMessage="1" sqref="B15" xr:uid="{9BDE604C-5DB1-4697-AB73-FA67E25B162B}">
      <formula1>"FALSE,TRUE"</formula1>
    </dataValidation>
    <dataValidation type="list" allowBlank="1" showInputMessage="1" showErrorMessage="1" sqref="B16" xr:uid="{0D4F8B5D-D972-42D7-960E-930FD2B46F0E}">
      <formula1>"No,1X,2X,3X"</formula1>
    </dataValidation>
    <dataValidation type="whole" allowBlank="1" showInputMessage="1" showErrorMessage="1" error="Must be whole number between -6 and +12" sqref="B14" xr:uid="{E8E8CC0A-EBB8-4F9F-A8C0-C69E1D597E18}">
      <formula1>-6</formula1>
      <formula2>12</formula2>
    </dataValidation>
    <dataValidation type="whole" allowBlank="1" showInputMessage="1" showErrorMessage="1" sqref="C11:D11" xr:uid="{3DC19063-750F-4472-BBFA-604B2ED7F002}">
      <formula1>0</formula1>
      <formula2>D4/2</formula2>
    </dataValidation>
    <dataValidation type="whole" allowBlank="1" showInputMessage="1" showErrorMessage="1" sqref="C13:D13" xr:uid="{52EAC323-8B5C-40DE-95F2-AA5FBBB98A46}">
      <formula1>0</formula1>
      <formula2>D5/2</formula2>
    </dataValidation>
    <dataValidation type="whole" allowBlank="1" showInputMessage="1" showErrorMessage="1" sqref="C14:D14" xr:uid="{01A351E1-7A6D-4032-8057-9DECAC739574}">
      <formula1>0</formula1>
      <formula2>D15/2</formula2>
    </dataValidation>
    <dataValidation type="whole" allowBlank="1" showInputMessage="1" showErrorMessage="1" sqref="E13:E14" xr:uid="{0A58EF86-9F30-4F34-8D30-02D91CCC514B}">
      <formula1>0</formula1>
      <formula2>#REF!/2</formula2>
    </dataValidation>
    <dataValidation type="whole" allowBlank="1" showInputMessage="1" showErrorMessage="1" error="Max STR = Lesser of Size + TL or SIZE X 4" sqref="G19:G28" xr:uid="{3D783C1A-5E95-4403-95A2-402B9ACFBB58}">
      <formula1>0</formula1>
      <formula2>F19-C19</formula2>
    </dataValidation>
    <dataValidation type="whole" allowBlank="1" showInputMessage="1" showErrorMessage="1" error="Max DEX = TL+3" sqref="K19:K28" xr:uid="{2AA2C5DB-9B3D-4D51-8D84-99A89948727D}">
      <formula1>0</formula1>
      <formula2>J19-D19</formula2>
    </dataValidation>
    <dataValidation type="whole" allowBlank="1" showInputMessage="1" showErrorMessage="1" error="Total Armour cannot exceed Maximum" sqref="B7" xr:uid="{637E79C0-90C0-4295-B61D-48C38C0C9174}">
      <formula1>-1</formula1>
      <formula2>L7-MID(A7,18,1)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6F9032A7-00DC-4C77-B0EC-69E4D5629A69}">
          <x14:formula1>
            <xm:f>Options!$C$9:$C$71</xm:f>
          </x14:formula1>
          <xm:sqref>A30:A34</xm:sqref>
        </x14:dataValidation>
        <x14:dataValidation type="list" allowBlank="1" showInputMessage="1" showErrorMessage="1" xr:uid="{1E89EE9C-04D2-43BE-AD50-BD46D45C464E}">
          <x14:formula1>
            <xm:f>Chassis!$H$3:$H$13</xm:f>
          </x14:formula1>
          <xm:sqref>B17 B5</xm:sqref>
        </x14:dataValidation>
        <x14:dataValidation type="list" allowBlank="1" showInputMessage="1" showErrorMessage="1" xr:uid="{008EFCE7-D2E9-4674-9271-63A2AFE3086D}">
          <x14:formula1>
            <xm:f>Packages!$B$11:$B$19</xm:f>
          </x14:formula1>
          <xm:sqref>B70</xm:sqref>
        </x14:dataValidation>
        <x14:dataValidation type="list" allowBlank="1" showInputMessage="1" showErrorMessage="1" xr:uid="{7BE86A49-9F48-4594-8128-D81A25238924}">
          <x14:formula1>
            <xm:f>Packages!$B$3:$B$7</xm:f>
          </x14:formula1>
          <xm:sqref>B69</xm:sqref>
        </x14:dataValidation>
        <x14:dataValidation type="list" allowBlank="1" showInputMessage="1" showErrorMessage="1" xr:uid="{21F527C2-A19E-4D5B-A713-A93704A2509E}">
          <x14:formula1>
            <xm:f>Packages!$B$23:$B$25</xm:f>
          </x14:formula1>
          <xm:sqref>B71</xm:sqref>
        </x14:dataValidation>
        <x14:dataValidation type="list" allowBlank="1" showInputMessage="1" showErrorMessage="1" xr:uid="{5B66BE94-B92F-420E-AB74-EB78BF4B6A2E}">
          <x14:formula1>
            <xm:f>Options!$C$9:$C$251</xm:f>
          </x14:formula1>
          <xm:sqref>A36:A56</xm:sqref>
        </x14:dataValidation>
        <x14:dataValidation type="list" allowBlank="1" showInputMessage="1" showErrorMessage="1" xr:uid="{022AFA89-32A1-49A5-8E4B-786497DA7248}">
          <x14:formula1>
            <xm:f>Packages!$B$29:$B$68</xm:f>
          </x14:formula1>
          <xm:sqref>A73:A90</xm:sqref>
        </x14:dataValidation>
        <x14:dataValidation type="list" allowBlank="1" showInputMessage="1" showErrorMessage="1" xr:uid="{ED4B1651-FEA4-4128-A6DA-BED75AABA02B}">
          <x14:formula1>
            <xm:f>Brains!$K$3:$K$16</xm:f>
          </x14:formula1>
          <xm:sqref>B65</xm:sqref>
        </x14:dataValidation>
        <x14:dataValidation type="list" allowBlank="1" showInputMessage="1" showErrorMessage="1" xr:uid="{147AF340-267B-4034-BFBA-FC033E148658}">
          <x14:formula1>
            <xm:f>Brains!$B$3:$B$19</xm:f>
          </x14:formula1>
          <xm:sqref>B64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C57A-D761-4022-BAFA-AC6F26018870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 t="s">
        <v>828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36900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4</v>
      </c>
      <c r="E4" s="114">
        <f>_xlfn.XLOOKUP(B4,Size[Size],Size[Base Slots],,,)</f>
        <v>8</v>
      </c>
      <c r="F4" s="37">
        <f>B4+O2</f>
        <v>16</v>
      </c>
      <c r="G4" s="168" t="s">
        <v>299</v>
      </c>
      <c r="H4" s="168"/>
      <c r="I4" s="169"/>
      <c r="J4" s="108">
        <f>_xlfn.XLOOKUP(B4,Size[Size],Size[Base hits],,,)</f>
        <v>12</v>
      </c>
      <c r="K4" s="170" t="s">
        <v>727</v>
      </c>
      <c r="L4" s="171"/>
      <c r="M4" s="52">
        <f>_xlfn.XLOOKUP(B4,Size[Size],Size[Basic Cost],,,)</f>
        <v>800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(-1), </v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8000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Basic Medic Droid</v>
      </c>
      <c r="S6" s="143">
        <f>M11</f>
        <v>12</v>
      </c>
      <c r="T6" s="143" t="str">
        <f>B5</f>
        <v>Walker</v>
      </c>
      <c r="U6" s="143" t="str">
        <f>_xlfn.CONCAT(J14," m")</f>
        <v>5 m</v>
      </c>
      <c r="V6" s="144">
        <f>O2</f>
        <v>12</v>
      </c>
      <c r="W6" s="147">
        <f>P91</f>
        <v>41050</v>
      </c>
      <c r="X6" s="151">
        <f>IF(I2="Standard Design",0.1,0)</f>
        <v>0.1</v>
      </c>
      <c r="Y6" s="152">
        <v>2</v>
      </c>
      <c r="Z6" s="147">
        <f>FLOOR(P91*(1-X6),100)</f>
        <v>36900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40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Medic 1, Persuade 1,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108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-1</v>
      </c>
      <c r="F9" s="37"/>
      <c r="G9" s="179" t="s">
        <v>302</v>
      </c>
      <c r="H9" s="179"/>
      <c r="I9" s="180"/>
      <c r="J9" s="51">
        <f>J8*(1+B9)</f>
        <v>216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500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9)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12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216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Small (-1), (idle),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216 hours</v>
      </c>
      <c r="L14" s="5"/>
      <c r="M14" s="5"/>
      <c r="N14" s="5"/>
      <c r="P14" s="136">
        <f>B14*0.1*P5</f>
        <v>0</v>
      </c>
      <c r="R14" s="245" t="s">
        <v>475</v>
      </c>
      <c r="S14" s="233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(basic), Visual Spectrum Sensor, Voder Speaker, Wireless Data Link, Drone Interface, Medikit (basic), Quick Charger, Storage Compartment (refrigerated), Storage Compartment (standard), Vacuum Environment Protection, , , , , , , , , , , , , , , </v>
      </c>
      <c r="T14" s="233"/>
      <c r="U14" s="233"/>
      <c r="V14" s="233"/>
      <c r="W14" s="233"/>
      <c r="X14" s="233"/>
      <c r="Y14" s="233"/>
      <c r="Z14" s="233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46"/>
      <c r="S15" s="247"/>
      <c r="T15" s="247"/>
      <c r="U15" s="247"/>
      <c r="V15" s="247"/>
      <c r="W15" s="247"/>
      <c r="X15" s="247"/>
      <c r="Y15" s="247"/>
      <c r="Z15" s="247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46"/>
      <c r="S16" s="247"/>
      <c r="T16" s="247"/>
      <c r="U16" s="247"/>
      <c r="V16" s="247"/>
      <c r="W16" s="247"/>
      <c r="X16" s="247"/>
      <c r="Y16" s="247"/>
      <c r="Z16" s="247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46"/>
      <c r="S17" s="247"/>
      <c r="T17" s="247"/>
      <c r="U17" s="247"/>
      <c r="V17" s="247"/>
      <c r="W17" s="247"/>
      <c r="X17" s="247"/>
      <c r="Y17" s="247"/>
      <c r="Z17" s="247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46"/>
      <c r="S18" s="247"/>
      <c r="T18" s="247"/>
      <c r="U18" s="247"/>
      <c r="V18" s="247"/>
      <c r="W18" s="247"/>
      <c r="X18" s="247"/>
      <c r="Y18" s="247"/>
      <c r="Z18" s="247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7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15</v>
      </c>
      <c r="K19" s="16">
        <v>2</v>
      </c>
      <c r="L19" s="60">
        <f t="shared" ref="L19:L28" si="5">D19+K19</f>
        <v>9</v>
      </c>
      <c r="M19" s="61">
        <f>IF(L19&gt;20,5,IF(L19&gt;17,4,IF(L19&gt;14,3,IF(L19&gt;11,2,IF(L19&gt;8,1,IF(L19&gt;5,0,IF(L19&gt;2,-1,-2)))))))</f>
        <v>1</v>
      </c>
      <c r="O19" s="12" t="str">
        <f t="shared" ref="O19:O28" si="6">IF(I19&gt;0,_xlfn.CONCAT("Athletics (strength) ",I19,", "),"")</f>
        <v/>
      </c>
      <c r="P19" s="136">
        <f>IF((B19-$B$4)*100&gt;-0.2*$P$5,(B19-$B$4)*100,-0.2*$P$5)+B19*100*(G19)^2+B19*200*(K19)^2</f>
        <v>3200</v>
      </c>
      <c r="R19" s="246"/>
      <c r="S19" s="247"/>
      <c r="T19" s="247"/>
      <c r="U19" s="247"/>
      <c r="V19" s="247"/>
      <c r="W19" s="247"/>
      <c r="X19" s="247"/>
      <c r="Y19" s="247"/>
      <c r="Z19" s="247"/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7">IF(B20=0,0,ROUNDUP($O$2/2+1,0))</f>
        <v>7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15</v>
      </c>
      <c r="K20" s="16">
        <v>2</v>
      </c>
      <c r="L20" s="6">
        <f t="shared" si="5"/>
        <v>9</v>
      </c>
      <c r="M20" s="61">
        <f t="shared" ref="M20:M28" si="8">IF(L20&gt;20,5,IF(L20&gt;17,4,IF(L20&gt;14,3,IF(L20&gt;11,2,IF(L20&gt;8,1,IF(L20&gt;5,0,IF(L20&gt;2,-1,-2)))))))</f>
        <v>1</v>
      </c>
      <c r="O20" s="5" t="str">
        <f t="shared" si="6"/>
        <v/>
      </c>
      <c r="P20" s="136">
        <f>IF((B20-$B$4)*100&gt;-0.2*$P$5,(B20-$B$4)*100,-0.2*$P$5)+B20*100*(G20)^2+B20*200*(K20)^2</f>
        <v>3200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7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15</v>
      </c>
      <c r="K21" s="16"/>
      <c r="L21" s="6">
        <f t="shared" si="5"/>
        <v>0</v>
      </c>
      <c r="M21" s="61">
        <f t="shared" si="8"/>
        <v>-2</v>
      </c>
      <c r="O21" s="5" t="str">
        <f t="shared" si="6"/>
        <v/>
      </c>
      <c r="P21" s="136">
        <f t="shared" ref="P21:P26" si="9">(B21)*100+B21*100*(G21)^2+B21*200*(K21)^2</f>
        <v>0</v>
      </c>
      <c r="R21" s="7" t="s">
        <v>798</v>
      </c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7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15</v>
      </c>
      <c r="K22" s="16"/>
      <c r="L22" s="6">
        <f t="shared" si="5"/>
        <v>0</v>
      </c>
      <c r="M22" s="61">
        <f t="shared" si="8"/>
        <v>-2</v>
      </c>
      <c r="O22" s="5" t="str">
        <f t="shared" si="6"/>
        <v/>
      </c>
      <c r="P22" s="136">
        <f t="shared" si="9"/>
        <v>0</v>
      </c>
      <c r="R22" s="200"/>
      <c r="S22" s="201"/>
      <c r="T22" s="201"/>
      <c r="U22" s="201"/>
      <c r="V22" s="201"/>
      <c r="W22" s="201"/>
      <c r="X22" s="201"/>
      <c r="Y22" s="201"/>
      <c r="Z22" s="202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7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15</v>
      </c>
      <c r="K23" s="16"/>
      <c r="L23" s="6">
        <f t="shared" si="5"/>
        <v>0</v>
      </c>
      <c r="M23" s="61">
        <f t="shared" si="8"/>
        <v>-2</v>
      </c>
      <c r="O23" s="5" t="str">
        <f t="shared" si="6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7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15</v>
      </c>
      <c r="K24" s="16"/>
      <c r="L24" s="6">
        <f t="shared" si="5"/>
        <v>0</v>
      </c>
      <c r="M24" s="61">
        <f t="shared" si="8"/>
        <v>-2</v>
      </c>
      <c r="O24" s="5" t="str">
        <f t="shared" si="6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7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15</v>
      </c>
      <c r="K25" s="16"/>
      <c r="L25" s="6">
        <f t="shared" si="5"/>
        <v>0</v>
      </c>
      <c r="M25" s="61">
        <f t="shared" si="8"/>
        <v>-2</v>
      </c>
      <c r="O25" s="5" t="str">
        <f t="shared" si="6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7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15</v>
      </c>
      <c r="K26" s="80"/>
      <c r="L26" s="81">
        <f t="shared" si="5"/>
        <v>0</v>
      </c>
      <c r="M26" s="157">
        <f t="shared" si="8"/>
        <v>-2</v>
      </c>
      <c r="O26" s="5" t="str">
        <f t="shared" si="6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15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88" t="str">
        <f t="shared" si="6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15</v>
      </c>
      <c r="K28" s="19"/>
      <c r="L28" s="20">
        <f t="shared" si="5"/>
        <v>0</v>
      </c>
      <c r="M28" s="61">
        <f t="shared" si="8"/>
        <v>-2</v>
      </c>
      <c r="N28" s="24"/>
      <c r="O28" s="5" t="str">
        <f t="shared" si="6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463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7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200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0 max skill</v>
      </c>
      <c r="I37" s="194"/>
      <c r="J37" s="194"/>
      <c r="K37" s="43">
        <f>_xlfn.XLOOKUP(A37,OptionsTable[Name],OptionsTable[TL],,,)</f>
        <v>8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1000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641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-1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>1 hour recharge</v>
      </c>
      <c r="I38" s="194"/>
      <c r="J38" s="194"/>
      <c r="K38" s="43">
        <f>_xlfn.XLOOKUP(A38,OptionsTable[Name],OptionsTable[TL],,,)</f>
        <v>8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200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190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-2</v>
      </c>
      <c r="F39" s="37">
        <f>IF(_xlfn.XLOOKUP(A39,OptionsTable[Name],OptionsTable[xS],,,)=FALSE,1,IF($B$4&gt;0,$E$4,1))</f>
        <v>1</v>
      </c>
      <c r="G39" s="57">
        <v>2</v>
      </c>
      <c r="H39" s="193" t="str">
        <f>IF(_xlfn.XLOOKUP(A39,OptionsTable[Name],OptionsTable[Notes],,,)="","",_xlfn.XLOOKUP(A39,OptionsTable[Name],OptionsTable[Notes],,,))</f>
        <v>2 kg or litres / slot</v>
      </c>
      <c r="I39" s="194"/>
      <c r="J39" s="194"/>
      <c r="K39" s="43">
        <f>_xlfn.XLOOKUP(A39,OptionsTable[Name],OptionsTable[TL],,,)</f>
        <v>6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200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471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-3</v>
      </c>
      <c r="F40" s="37">
        <f>IF(_xlfn.XLOOKUP(A40,OptionsTable[Name],OptionsTable[xS],,,)=FALSE,1,IF($B$4&gt;0,$E$4,1))</f>
        <v>1</v>
      </c>
      <c r="G40" s="57">
        <v>3</v>
      </c>
      <c r="H40" s="193" t="str">
        <f>IF(_xlfn.XLOOKUP(A40,OptionsTable[Name],OptionsTable[Notes],,,)="","",_xlfn.XLOOKUP(A40,OptionsTable[Name],OptionsTable[Notes],,,))</f>
        <v>2 kg or litres / slot</v>
      </c>
      <c r="I40" s="194"/>
      <c r="J40" s="194"/>
      <c r="K40" s="43">
        <f>_xlfn.XLOOKUP(A40,OptionsTable[Name],OptionsTable[TL],,,)</f>
        <v>6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150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 t="s">
        <v>100</v>
      </c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8</v>
      </c>
      <c r="G41" s="57"/>
      <c r="H41" s="193" t="str">
        <f>IF(_xlfn.XLOOKUP(A41,OptionsTable[Name],OptionsTable[Notes],,,)="","",_xlfn.XLOOKUP(A41,OptionsTable[Name],OptionsTable[Notes],,,))</f>
        <v>+ Hostile env</v>
      </c>
      <c r="I41" s="194"/>
      <c r="J41" s="194"/>
      <c r="K41" s="43">
        <f>_xlfn.XLOOKUP(A41,OptionsTable[Name],OptionsTable[TL],,,)</f>
        <v>6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4800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80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8</v>
      </c>
      <c r="I64" s="31">
        <f>IF(H64&gt;17,4,IF(H64&gt;14,3,IF(H64&gt;11,2,IF(H64&gt;8,1,IF(H64&gt;5,0,IF(H64&gt;2,-1,-2))))))</f>
        <v>0</v>
      </c>
      <c r="J64" s="1">
        <f>_xlfn.XLOOKUP(B64,Brains[Programming/Control],Brains[Computer/X],,,)</f>
        <v>2</v>
      </c>
      <c r="K64" s="43">
        <f>_xlfn.XLOOKUP(B64,Brains[Programming/Control],Brains[TL],,,)</f>
        <v>12</v>
      </c>
      <c r="L64">
        <f>_xlfn.XLOOKUP(B64,Brains[Programming/Control],Brains[Computer/X],,,)</f>
        <v>2</v>
      </c>
      <c r="M64" s="12" t="str">
        <f>_xlfn.XLOOKUP(B64,Brains[Programming/Control],Brains[Base capability (built-in no bandwidth, cumulative)],,,)</f>
        <v>Intelligent Interface, Expert/1, Security/1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26</v>
      </c>
      <c r="C65" s="192"/>
      <c r="D65" s="192"/>
      <c r="E65" s="39">
        <f>-_xlfn.XLOOKUP(B65,Bandwidth[Minimum Base Brain],Bandwidth[Slots],,,)</f>
        <v>0</v>
      </c>
      <c r="F65" s="37"/>
      <c r="K65" s="43">
        <f>_xlfn.XLOOKUP(B65,Bandwidth[Minimum Base Brain],Bandwidth[TL],,,)</f>
        <v>0</v>
      </c>
      <c r="L65">
        <f>_xlfn.XLOOKUP(B65,Bandwidth[Minimum Base Brain],Bandwidth[Bandwidth],,,)+L64</f>
        <v>2</v>
      </c>
      <c r="M65" t="s">
        <v>310</v>
      </c>
      <c r="P65" s="136">
        <f>_xlfn.XLOOKUP(B65,Bandwidth[Minimum Base Brain],Bandwidth[Cost],,,)</f>
        <v>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1</v>
      </c>
      <c r="E66" s="39"/>
      <c r="F66" s="37" cm="1">
        <f t="array" ref="F66">_xlfn.IFS(B66=0,0,B66=1,-1,B66=2,-3,B66=3,-6)</f>
        <v>-1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1</v>
      </c>
      <c r="M66" t="s">
        <v>310</v>
      </c>
      <c r="P66" s="136" cm="1">
        <f t="array" ref="P66">_xlfn.IFS(B66=0,0,B66=1,(H64+1)*1000,B66=2,(H64+1)*(H64+2)*1000,B66=3,(H64+1)*(H64+2)*(H64+3)*1000)*IF(H66&gt;11,2,1)</f>
        <v>9000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1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30" t="s">
        <v>131</v>
      </c>
      <c r="B73" s="193"/>
      <c r="C73" s="227"/>
      <c r="D73" s="57">
        <v>0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0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9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Medic 1,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200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134</v>
      </c>
      <c r="B74" s="193"/>
      <c r="C74" s="227"/>
      <c r="D74" s="57">
        <v>0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1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11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Persuade 1,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500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117</v>
      </c>
      <c r="B75" s="193"/>
      <c r="C75" s="227"/>
      <c r="D75" s="57"/>
      <c r="E75" s="39"/>
      <c r="G75" s="59" t="str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/>
      </c>
      <c r="I75" s="58" t="str">
        <f>_xlfn.XLOOKUP(A75,StandardBrain[Name],StandardBrain[Characteristic],,,)</f>
        <v xml:space="preserve"> </v>
      </c>
      <c r="K75" s="43">
        <f>_xlfn.XLOOKUP(A75,StandardBrain[Name],StandardBrain[TL],,,)+D75</f>
        <v>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/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0</v>
      </c>
      <c r="R76" s="203"/>
      <c r="S76" s="204"/>
      <c r="T76" s="204"/>
      <c r="U76" s="204"/>
      <c r="V76" s="204"/>
      <c r="W76" s="204"/>
      <c r="X76" s="204"/>
      <c r="Y76" s="204"/>
      <c r="Z76" s="205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  <c r="R77" s="206"/>
      <c r="S77" s="207"/>
      <c r="T77" s="207"/>
      <c r="U77" s="207"/>
      <c r="V77" s="207"/>
      <c r="W77" s="207"/>
      <c r="X77" s="207"/>
      <c r="Y77" s="207"/>
      <c r="Z77" s="208"/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41050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36900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1">
    <sortCondition ref="A36:A41"/>
  </sortState>
  <dataConsolidate/>
  <mergeCells count="114"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4:D64"/>
    <mergeCell ref="B65:D65"/>
    <mergeCell ref="B69:D69"/>
    <mergeCell ref="B70:D70"/>
    <mergeCell ref="B71:D71"/>
    <mergeCell ref="B73:C73"/>
    <mergeCell ref="A59:D59"/>
    <mergeCell ref="H59:I59"/>
    <mergeCell ref="A60:D60"/>
    <mergeCell ref="H60:I60"/>
    <mergeCell ref="A61:D61"/>
    <mergeCell ref="H61:I61"/>
    <mergeCell ref="A55:D55"/>
    <mergeCell ref="H55:J55"/>
    <mergeCell ref="A56:D56"/>
    <mergeCell ref="H56:J56"/>
    <mergeCell ref="A57:D57"/>
    <mergeCell ref="H57:J57"/>
    <mergeCell ref="A52:D52"/>
    <mergeCell ref="H52:J52"/>
    <mergeCell ref="A53:D53"/>
    <mergeCell ref="H53:J53"/>
    <mergeCell ref="A54:D54"/>
    <mergeCell ref="H54:J54"/>
    <mergeCell ref="A49:D49"/>
    <mergeCell ref="H49:J49"/>
    <mergeCell ref="A50:D50"/>
    <mergeCell ref="H50:J50"/>
    <mergeCell ref="A51:D51"/>
    <mergeCell ref="H51:J51"/>
    <mergeCell ref="A38:D38"/>
    <mergeCell ref="H38:J38"/>
    <mergeCell ref="A39:D39"/>
    <mergeCell ref="H39:J39"/>
    <mergeCell ref="A46:D46"/>
    <mergeCell ref="H46:J46"/>
    <mergeCell ref="A47:D47"/>
    <mergeCell ref="H47:J47"/>
    <mergeCell ref="A48:D48"/>
    <mergeCell ref="H48:J48"/>
    <mergeCell ref="A43:D43"/>
    <mergeCell ref="H43:J43"/>
    <mergeCell ref="A44:D44"/>
    <mergeCell ref="H44:J44"/>
    <mergeCell ref="A45:D45"/>
    <mergeCell ref="H45:J45"/>
    <mergeCell ref="H33:J33"/>
    <mergeCell ref="A34:D34"/>
    <mergeCell ref="H34:J34"/>
    <mergeCell ref="H35:J35"/>
    <mergeCell ref="A36:D36"/>
    <mergeCell ref="H36:J36"/>
    <mergeCell ref="R22:Z77"/>
    <mergeCell ref="B29:D29"/>
    <mergeCell ref="H29:J29"/>
    <mergeCell ref="A30:D30"/>
    <mergeCell ref="H30:J30"/>
    <mergeCell ref="A31:D31"/>
    <mergeCell ref="H31:J31"/>
    <mergeCell ref="A32:D32"/>
    <mergeCell ref="H32:J32"/>
    <mergeCell ref="A33:D33"/>
    <mergeCell ref="A40:D40"/>
    <mergeCell ref="H40:J40"/>
    <mergeCell ref="A41:D41"/>
    <mergeCell ref="H41:J41"/>
    <mergeCell ref="A42:D42"/>
    <mergeCell ref="H42:J42"/>
    <mergeCell ref="A37:D37"/>
    <mergeCell ref="H37:J37"/>
    <mergeCell ref="S13:Z13"/>
    <mergeCell ref="R14:R19"/>
    <mergeCell ref="S14:Z19"/>
    <mergeCell ref="G10:H10"/>
    <mergeCell ref="K10:M10"/>
    <mergeCell ref="S9:Z9"/>
    <mergeCell ref="G11:H11"/>
    <mergeCell ref="K11:L11"/>
    <mergeCell ref="S10:Z10"/>
    <mergeCell ref="G8:I8"/>
    <mergeCell ref="K8:M8"/>
    <mergeCell ref="G9:I9"/>
    <mergeCell ref="K9:M9"/>
    <mergeCell ref="G12:O12"/>
    <mergeCell ref="S11:Z11"/>
    <mergeCell ref="S12:Z12"/>
    <mergeCell ref="R7:R8"/>
    <mergeCell ref="S7:Z8"/>
    <mergeCell ref="B2:D2"/>
    <mergeCell ref="F2:H2"/>
    <mergeCell ref="I2:M2"/>
    <mergeCell ref="G3:J3"/>
    <mergeCell ref="G4:I4"/>
    <mergeCell ref="K4:L4"/>
    <mergeCell ref="G5:I5"/>
    <mergeCell ref="H6:N6"/>
    <mergeCell ref="G7:I7"/>
  </mergeCells>
  <conditionalFormatting sqref="B14">
    <cfRule type="expression" dxfId="83" priority="6">
      <formula>ABS($J$14-6) &gt; 6</formula>
    </cfRule>
  </conditionalFormatting>
  <conditionalFormatting sqref="E2">
    <cfRule type="expression" dxfId="82" priority="4">
      <formula>$E$2&lt;0</formula>
    </cfRule>
  </conditionalFormatting>
  <conditionalFormatting sqref="E15:E17">
    <cfRule type="expression" dxfId="81" priority="1">
      <formula>AND($B$4=0,E15&lt;0)</formula>
    </cfRule>
  </conditionalFormatting>
  <conditionalFormatting sqref="K5 K30:K34 K36:K57 K59:K61 K64:K67 K73:K90">
    <cfRule type="expression" dxfId="80" priority="5">
      <formula>K5&gt;$O$2</formula>
    </cfRule>
  </conditionalFormatting>
  <conditionalFormatting sqref="L57">
    <cfRule type="expression" dxfId="79" priority="2">
      <formula>L57&gt;$O$2</formula>
    </cfRule>
  </conditionalFormatting>
  <conditionalFormatting sqref="L67">
    <cfRule type="expression" dxfId="78" priority="3">
      <formula>L67&lt;0</formula>
    </cfRule>
  </conditionalFormatting>
  <dataValidations count="20">
    <dataValidation type="whole" allowBlank="1" showInputMessage="1" showErrorMessage="1" error="Must be a negative number no less than a 50% of the base hits" sqref="B11" xr:uid="{25901F9B-539E-46D5-99BB-2DB275D7A440}">
      <formula1>-J4/2</formula1>
      <formula2>0</formula2>
    </dataValidation>
    <dataValidation type="whole" allowBlank="1" showInputMessage="1" showErrorMessage="1" error="Must be whole number. No more than 50% of slots may be used for Resiliency" sqref="B10" xr:uid="{743E74D4-D6C7-4E5D-9012-78C808CEFA68}">
      <formula1>0</formula1>
      <formula2>E4/2</formula2>
    </dataValidation>
    <dataValidation type="whole" allowBlank="1" showInputMessage="1" showErrorMessage="1" sqref="E11" xr:uid="{BCD61735-A1FD-4242-8CAB-C00D722CF5BA}">
      <formula1>0</formula1>
      <formula2>J4/2</formula2>
    </dataValidation>
    <dataValidation type="list" allowBlank="1" showInputMessage="1" showErrorMessage="1" error="Maximum = 3" sqref="B9" xr:uid="{388C5F30-2DD7-44FB-8D04-06C48D7993B5}">
      <formula1>"0,1,2,3"</formula1>
    </dataValidation>
    <dataValidation type="list" allowBlank="1" showInputMessage="1" showErrorMessage="1" sqref="B4" xr:uid="{623548A3-AD32-43A1-ABF4-6E76E6771B2E}">
      <formula1>"0,1,2,3,4,5,6,7,8"</formula1>
    </dataValidation>
    <dataValidation type="list" allowBlank="1" showInputMessage="1" showErrorMessage="1" sqref="O2" xr:uid="{61AD08E6-FF3A-4043-8D63-C52CF2AB8578}">
      <formula1>"7,8,9,10,11,12,13,14,15,16,17,18"</formula1>
    </dataValidation>
    <dataValidation type="whole" allowBlank="1" showInputMessage="1" showErrorMessage="1" error="Max Manipulator Size = Chassis Size +2_x000a_Min Manipulator Size = 0_x000a_Whole Numbers Only" sqref="B19:B26" xr:uid="{37D01989-09DB-4321-8F19-E02E73222DF6}">
      <formula1>0</formula1>
      <formula2>$B$4+2</formula2>
    </dataValidation>
    <dataValidation type="list" allowBlank="1" showInputMessage="1" showErrorMessage="1" sqref="B27:B28 B67 B8" xr:uid="{E794F3C7-343F-46B9-B4B6-2849887E2169}">
      <formula1>"TRUE,FALSE"</formula1>
    </dataValidation>
    <dataValidation type="list" allowBlank="1" showInputMessage="1" showErrorMessage="1" sqref="B13" xr:uid="{D4F343AF-C902-46B5-90C5-B47ABB37A866}">
      <formula1>"0,1,2,3,4"</formula1>
    </dataValidation>
    <dataValidation type="list" allowBlank="1" showInputMessage="1" showErrorMessage="1" sqref="D73:D90 B66" xr:uid="{0D5D234D-404B-4571-8D19-54E7BA283EB3}">
      <formula1>"0,1,2,3"</formula1>
    </dataValidation>
    <dataValidation type="list" allowBlank="1" showInputMessage="1" showErrorMessage="1" sqref="B15" xr:uid="{BAD326D8-0C09-40B7-B513-BBD7346AA4C8}">
      <formula1>"FALSE,TRUE"</formula1>
    </dataValidation>
    <dataValidation type="list" allowBlank="1" showInputMessage="1" showErrorMessage="1" sqref="B16" xr:uid="{3F560B46-5482-44BF-849E-DEE5BBE1C523}">
      <formula1>"No,1X,2X,3X"</formula1>
    </dataValidation>
    <dataValidation type="whole" allowBlank="1" showInputMessage="1" showErrorMessage="1" error="Must be whole number between -6 and +12" sqref="B14" xr:uid="{09540EB3-424D-47DD-98EC-5F1F56909C6A}">
      <formula1>-6</formula1>
      <formula2>12</formula2>
    </dataValidation>
    <dataValidation type="whole" allowBlank="1" showInputMessage="1" showErrorMessage="1" sqref="C11:D11" xr:uid="{03D1398C-A0B6-4347-BFC6-B6DCD68D8311}">
      <formula1>0</formula1>
      <formula2>D4/2</formula2>
    </dataValidation>
    <dataValidation type="whole" allowBlank="1" showInputMessage="1" showErrorMessage="1" sqref="C13:D13" xr:uid="{E59FD7F2-E7A8-427C-BED9-E48273858EDB}">
      <formula1>0</formula1>
      <formula2>D5/2</formula2>
    </dataValidation>
    <dataValidation type="whole" allowBlank="1" showInputMessage="1" showErrorMessage="1" sqref="C14:D14" xr:uid="{9F8D1F78-DB25-4AD8-A101-BE7196EDE95C}">
      <formula1>0</formula1>
      <formula2>D15/2</formula2>
    </dataValidation>
    <dataValidation type="whole" allowBlank="1" showInputMessage="1" showErrorMessage="1" sqref="E13:E14" xr:uid="{FB4FDB30-0ECF-474E-A418-B7A334C24BA1}">
      <formula1>0</formula1>
      <formula2>#REF!/2</formula2>
    </dataValidation>
    <dataValidation type="whole" allowBlank="1" showInputMessage="1" showErrorMessage="1" error="Max STR = Lesser of Size + TL or SIZE X 4" sqref="G19:G28" xr:uid="{86A8CA35-BD58-4B5A-B55E-1D1C7E1E0CA9}">
      <formula1>0</formula1>
      <formula2>F19-C19</formula2>
    </dataValidation>
    <dataValidation type="whole" allowBlank="1" showInputMessage="1" showErrorMessage="1" error="Max DEX = TL+3" sqref="K19:K28" xr:uid="{1FD0B8C5-34FB-4DC2-BA5C-7876049FF9B5}">
      <formula1>0</formula1>
      <formula2>J19-D19</formula2>
    </dataValidation>
    <dataValidation type="whole" allowBlank="1" showInputMessage="1" showErrorMessage="1" error="Total Armour cannot exceed Maximum" sqref="B7" xr:uid="{F202647E-5E0C-4849-9C4B-2272AA41691B}">
      <formula1>-1</formula1>
      <formula2>L7-MID(A7,18,1)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F736AF8-1223-41D6-A678-5089B2EE57BC}">
          <x14:formula1>
            <xm:f>Brains!$B$3:$B$19</xm:f>
          </x14:formula1>
          <xm:sqref>B64</xm:sqref>
        </x14:dataValidation>
        <x14:dataValidation type="list" allowBlank="1" showInputMessage="1" showErrorMessage="1" xr:uid="{AC86B482-DF4E-44D0-9945-5EC8B74FC0B3}">
          <x14:formula1>
            <xm:f>Brains!$K$3:$K$16</xm:f>
          </x14:formula1>
          <xm:sqref>B65</xm:sqref>
        </x14:dataValidation>
        <x14:dataValidation type="list" allowBlank="1" showInputMessage="1" showErrorMessage="1" xr:uid="{EEAD7BB4-2222-417B-A56B-3719A52BA6C4}">
          <x14:formula1>
            <xm:f>Packages!$B$29:$B$68</xm:f>
          </x14:formula1>
          <xm:sqref>A73:A90</xm:sqref>
        </x14:dataValidation>
        <x14:dataValidation type="list" allowBlank="1" showInputMessage="1" showErrorMessage="1" xr:uid="{479F2E19-CA17-4318-874B-C6FE6E9420B9}">
          <x14:formula1>
            <xm:f>Options!$C$9:$C$251</xm:f>
          </x14:formula1>
          <xm:sqref>A36:A56</xm:sqref>
        </x14:dataValidation>
        <x14:dataValidation type="list" allowBlank="1" showInputMessage="1" showErrorMessage="1" xr:uid="{B5DE25C5-4B75-4241-A2B7-6389321E9B3E}">
          <x14:formula1>
            <xm:f>Options!$C$9:$C$71</xm:f>
          </x14:formula1>
          <xm:sqref>A30:A34</xm:sqref>
        </x14:dataValidation>
        <x14:dataValidation type="list" allowBlank="1" showInputMessage="1" showErrorMessage="1" xr:uid="{C084896F-06AB-4D5B-8CFB-674C73F94206}">
          <x14:formula1>
            <xm:f>Chassis!$H$3:$H$13</xm:f>
          </x14:formula1>
          <xm:sqref>B17 B5</xm:sqref>
        </x14:dataValidation>
        <x14:dataValidation type="list" allowBlank="1" showInputMessage="1" showErrorMessage="1" xr:uid="{27837C44-7F10-41D7-B343-DC9FC11B1911}">
          <x14:formula1>
            <xm:f>Packages!$B$11:$B$19</xm:f>
          </x14:formula1>
          <xm:sqref>B70</xm:sqref>
        </x14:dataValidation>
        <x14:dataValidation type="list" allowBlank="1" showInputMessage="1" showErrorMessage="1" xr:uid="{D495B836-2AEB-4B90-A2C0-5FD1C1AAF75D}">
          <x14:formula1>
            <xm:f>Packages!$B$3:$B$7</xm:f>
          </x14:formula1>
          <xm:sqref>B69</xm:sqref>
        </x14:dataValidation>
        <x14:dataValidation type="list" allowBlank="1" showInputMessage="1" showErrorMessage="1" xr:uid="{CF8B06E6-9E92-4ACB-AF1C-E78543830302}">
          <x14:formula1>
            <xm:f>Packages!$B$23:$B$25</xm:f>
          </x14:formula1>
          <xm:sqref>B71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949D1-BDB6-4CD0-92F9-53A1EEF10C62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 t="s">
        <v>835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77700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4</v>
      </c>
      <c r="E4" s="114">
        <f>_xlfn.XLOOKUP(B4,Size[Size],Size[Base Slots],,,)</f>
        <v>8</v>
      </c>
      <c r="F4" s="37">
        <f>B4+O2</f>
        <v>16</v>
      </c>
      <c r="G4" s="168" t="s">
        <v>299</v>
      </c>
      <c r="H4" s="168"/>
      <c r="I4" s="169"/>
      <c r="J4" s="108">
        <f>_xlfn.XLOOKUP(B4,Size[Size],Size[Base hits],,,)</f>
        <v>12</v>
      </c>
      <c r="K4" s="170" t="s">
        <v>727</v>
      </c>
      <c r="L4" s="171"/>
      <c r="M4" s="52">
        <f>_xlfn.XLOOKUP(B4,Size[Size],Size[Basic Cost],,,)</f>
        <v>800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(-1), </v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8000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Improved Medic Droid</v>
      </c>
      <c r="S6" s="143">
        <f>M11</f>
        <v>12</v>
      </c>
      <c r="T6" s="143" t="str">
        <f>B5</f>
        <v>Walker</v>
      </c>
      <c r="U6" s="143" t="str">
        <f>_xlfn.CONCAT(J14," m")</f>
        <v>5 m</v>
      </c>
      <c r="V6" s="144">
        <f>O2</f>
        <v>12</v>
      </c>
      <c r="W6" s="147">
        <f>P91</f>
        <v>86400</v>
      </c>
      <c r="X6" s="151">
        <f>IF(I2="Standard Design",0.1,0)</f>
        <v>0.1</v>
      </c>
      <c r="Y6" s="152">
        <v>2</v>
      </c>
      <c r="Z6" s="147">
        <f>FLOOR(P91*(1-X6),100)</f>
        <v>77700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40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Medic 2, Persuade 2,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108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-1</v>
      </c>
      <c r="F9" s="37"/>
      <c r="G9" s="179" t="s">
        <v>302</v>
      </c>
      <c r="H9" s="179"/>
      <c r="I9" s="180"/>
      <c r="J9" s="51">
        <f>J8*(1+B9)</f>
        <v>216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500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12)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12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216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Small (-1), (idle),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216 hours</v>
      </c>
      <c r="L14" s="5"/>
      <c r="M14" s="5"/>
      <c r="N14" s="5"/>
      <c r="P14" s="136">
        <f>B14*0.1*P5</f>
        <v>0</v>
      </c>
      <c r="R14" s="245" t="s">
        <v>475</v>
      </c>
      <c r="S14" s="233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(basic), Visual Spectrum Sensor, Voder Speaker, Wireless Data Link, Drone Interface, Medikit (improved), Quick Charger, Storage Compartment (refrigerated), Storage Compartment (standard), Vacuum Environment Protection, , , , , , , , , , , , , , , </v>
      </c>
      <c r="T14" s="233"/>
      <c r="U14" s="233"/>
      <c r="V14" s="233"/>
      <c r="W14" s="233"/>
      <c r="X14" s="233"/>
      <c r="Y14" s="233"/>
      <c r="Z14" s="233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46"/>
      <c r="S15" s="247"/>
      <c r="T15" s="247"/>
      <c r="U15" s="247"/>
      <c r="V15" s="247"/>
      <c r="W15" s="247"/>
      <c r="X15" s="247"/>
      <c r="Y15" s="247"/>
      <c r="Z15" s="247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46"/>
      <c r="S16" s="247"/>
      <c r="T16" s="247"/>
      <c r="U16" s="247"/>
      <c r="V16" s="247"/>
      <c r="W16" s="247"/>
      <c r="X16" s="247"/>
      <c r="Y16" s="247"/>
      <c r="Z16" s="247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46"/>
      <c r="S17" s="247"/>
      <c r="T17" s="247"/>
      <c r="U17" s="247"/>
      <c r="V17" s="247"/>
      <c r="W17" s="247"/>
      <c r="X17" s="247"/>
      <c r="Y17" s="247"/>
      <c r="Z17" s="247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46"/>
      <c r="S18" s="247"/>
      <c r="T18" s="247"/>
      <c r="U18" s="247"/>
      <c r="V18" s="247"/>
      <c r="W18" s="247"/>
      <c r="X18" s="247"/>
      <c r="Y18" s="247"/>
      <c r="Z18" s="247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7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15</v>
      </c>
      <c r="K19" s="16">
        <v>5</v>
      </c>
      <c r="L19" s="60">
        <f t="shared" ref="L19:L28" si="5">D19+K19</f>
        <v>12</v>
      </c>
      <c r="M19" s="61">
        <f>IF(L19&gt;20,5,IF(L19&gt;17,4,IF(L19&gt;14,3,IF(L19&gt;11,2,IF(L19&gt;8,1,IF(L19&gt;5,0,IF(L19&gt;2,-1,-2)))))))</f>
        <v>2</v>
      </c>
      <c r="O19" s="12" t="str">
        <f t="shared" ref="O19:O28" si="6">IF(I19&gt;0,_xlfn.CONCAT("Athletics (strength) ",I19,", "),"")</f>
        <v/>
      </c>
      <c r="P19" s="136">
        <f>IF((B19-$B$4)*100&gt;-0.2*$P$5,(B19-$B$4)*100,-0.2*$P$5)+B19*100*(G19)^2+B19*200*(K19)^2</f>
        <v>20000</v>
      </c>
      <c r="R19" s="246"/>
      <c r="S19" s="247"/>
      <c r="T19" s="247"/>
      <c r="U19" s="247"/>
      <c r="V19" s="247"/>
      <c r="W19" s="247"/>
      <c r="X19" s="247"/>
      <c r="Y19" s="247"/>
      <c r="Z19" s="247"/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7">IF(B20=0,0,ROUNDUP($O$2/2+1,0))</f>
        <v>7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15</v>
      </c>
      <c r="K20" s="16">
        <v>5</v>
      </c>
      <c r="L20" s="6">
        <f t="shared" si="5"/>
        <v>12</v>
      </c>
      <c r="M20" s="61">
        <f t="shared" ref="M20:M28" si="8">IF(L20&gt;20,5,IF(L20&gt;17,4,IF(L20&gt;14,3,IF(L20&gt;11,2,IF(L20&gt;8,1,IF(L20&gt;5,0,IF(L20&gt;2,-1,-2)))))))</f>
        <v>2</v>
      </c>
      <c r="O20" s="5" t="str">
        <f t="shared" si="6"/>
        <v/>
      </c>
      <c r="P20" s="136">
        <f>IF((B20-$B$4)*100&gt;-0.2*$P$5,(B20-$B$4)*100,-0.2*$P$5)+B20*100*(G20)^2+B20*200*(K20)^2</f>
        <v>20000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7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15</v>
      </c>
      <c r="K21" s="16"/>
      <c r="L21" s="6">
        <f t="shared" si="5"/>
        <v>0</v>
      </c>
      <c r="M21" s="61">
        <f t="shared" si="8"/>
        <v>-2</v>
      </c>
      <c r="O21" s="5" t="str">
        <f t="shared" si="6"/>
        <v/>
      </c>
      <c r="P21" s="136">
        <f t="shared" ref="P21:P26" si="9">(B21)*100+B21*100*(G21)^2+B21*200*(K21)^2</f>
        <v>0</v>
      </c>
      <c r="R21" s="7" t="s">
        <v>798</v>
      </c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7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15</v>
      </c>
      <c r="K22" s="16"/>
      <c r="L22" s="6">
        <f t="shared" si="5"/>
        <v>0</v>
      </c>
      <c r="M22" s="61">
        <f t="shared" si="8"/>
        <v>-2</v>
      </c>
      <c r="O22" s="5" t="str">
        <f t="shared" si="6"/>
        <v/>
      </c>
      <c r="P22" s="136">
        <f t="shared" si="9"/>
        <v>0</v>
      </c>
      <c r="R22" s="200"/>
      <c r="S22" s="201"/>
      <c r="T22" s="201"/>
      <c r="U22" s="201"/>
      <c r="V22" s="201"/>
      <c r="W22" s="201"/>
      <c r="X22" s="201"/>
      <c r="Y22" s="201"/>
      <c r="Z22" s="202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7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15</v>
      </c>
      <c r="K23" s="16"/>
      <c r="L23" s="6">
        <f t="shared" si="5"/>
        <v>0</v>
      </c>
      <c r="M23" s="61">
        <f t="shared" si="8"/>
        <v>-2</v>
      </c>
      <c r="O23" s="5" t="str">
        <f t="shared" si="6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7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15</v>
      </c>
      <c r="K24" s="16"/>
      <c r="L24" s="6">
        <f t="shared" si="5"/>
        <v>0</v>
      </c>
      <c r="M24" s="61">
        <f t="shared" si="8"/>
        <v>-2</v>
      </c>
      <c r="O24" s="5" t="str">
        <f t="shared" si="6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7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15</v>
      </c>
      <c r="K25" s="16"/>
      <c r="L25" s="6">
        <f t="shared" si="5"/>
        <v>0</v>
      </c>
      <c r="M25" s="61">
        <f t="shared" si="8"/>
        <v>-2</v>
      </c>
      <c r="O25" s="5" t="str">
        <f t="shared" si="6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7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15</v>
      </c>
      <c r="K26" s="80"/>
      <c r="L26" s="81">
        <f t="shared" si="5"/>
        <v>0</v>
      </c>
      <c r="M26" s="157">
        <f t="shared" si="8"/>
        <v>-2</v>
      </c>
      <c r="O26" s="5" t="str">
        <f t="shared" si="6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15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88" t="str">
        <f t="shared" si="6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15</v>
      </c>
      <c r="K28" s="19"/>
      <c r="L28" s="20">
        <f t="shared" si="5"/>
        <v>0</v>
      </c>
      <c r="M28" s="61">
        <f t="shared" si="8"/>
        <v>-2</v>
      </c>
      <c r="N28" s="24"/>
      <c r="O28" s="5" t="str">
        <f t="shared" si="6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463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7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201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1 max skill</v>
      </c>
      <c r="I37" s="194"/>
      <c r="J37" s="194"/>
      <c r="K37" s="43">
        <f>_xlfn.XLOOKUP(A37,OptionsTable[Name],OptionsTable[TL],,,)</f>
        <v>10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1500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641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-1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>1 hour recharge</v>
      </c>
      <c r="I38" s="194"/>
      <c r="J38" s="194"/>
      <c r="K38" s="43">
        <f>_xlfn.XLOOKUP(A38,OptionsTable[Name],OptionsTable[TL],,,)</f>
        <v>8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200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190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-2</v>
      </c>
      <c r="F39" s="37">
        <f>IF(_xlfn.XLOOKUP(A39,OptionsTable[Name],OptionsTable[xS],,,)=FALSE,1,IF($B$4&gt;0,$E$4,1))</f>
        <v>1</v>
      </c>
      <c r="G39" s="57">
        <v>2</v>
      </c>
      <c r="H39" s="193" t="str">
        <f>IF(_xlfn.XLOOKUP(A39,OptionsTable[Name],OptionsTable[Notes],,,)="","",_xlfn.XLOOKUP(A39,OptionsTable[Name],OptionsTable[Notes],,,))</f>
        <v>2 kg or litres / slot</v>
      </c>
      <c r="I39" s="194"/>
      <c r="J39" s="194"/>
      <c r="K39" s="43">
        <f>_xlfn.XLOOKUP(A39,OptionsTable[Name],OptionsTable[TL],,,)</f>
        <v>6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200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471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-2</v>
      </c>
      <c r="F40" s="37">
        <f>IF(_xlfn.XLOOKUP(A40,OptionsTable[Name],OptionsTable[xS],,,)=FALSE,1,IF($B$4&gt;0,$E$4,1))</f>
        <v>1</v>
      </c>
      <c r="G40" s="57">
        <v>2</v>
      </c>
      <c r="H40" s="193" t="str">
        <f>IF(_xlfn.XLOOKUP(A40,OptionsTable[Name],OptionsTable[Notes],,,)="","",_xlfn.XLOOKUP(A40,OptionsTable[Name],OptionsTable[Notes],,,))</f>
        <v>2 kg or litres / slot</v>
      </c>
      <c r="I40" s="194"/>
      <c r="J40" s="194"/>
      <c r="K40" s="43">
        <f>_xlfn.XLOOKUP(A40,OptionsTable[Name],OptionsTable[TL],,,)</f>
        <v>6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100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 t="s">
        <v>100</v>
      </c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8</v>
      </c>
      <c r="G41" s="57"/>
      <c r="H41" s="193" t="str">
        <f>IF(_xlfn.XLOOKUP(A41,OptionsTable[Name],OptionsTable[Notes],,,)="","",_xlfn.XLOOKUP(A41,OptionsTable[Name],OptionsTable[Notes],,,))</f>
        <v>+ Hostile env</v>
      </c>
      <c r="I41" s="194"/>
      <c r="J41" s="194"/>
      <c r="K41" s="43">
        <f>_xlfn.XLOOKUP(A41,OptionsTable[Name],OptionsTable[TL],,,)</f>
        <v>6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4800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80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8</v>
      </c>
      <c r="I64" s="31">
        <f>IF(H64&gt;17,4,IF(H64&gt;14,3,IF(H64&gt;11,2,IF(H64&gt;8,1,IF(H64&gt;5,0,IF(H64&gt;2,-1,-2))))))</f>
        <v>0</v>
      </c>
      <c r="J64" s="1">
        <f>_xlfn.XLOOKUP(B64,Brains[Programming/Control],Brains[Computer/X],,,)</f>
        <v>2</v>
      </c>
      <c r="K64" s="43">
        <f>_xlfn.XLOOKUP(B64,Brains[Programming/Control],Brains[TL],,,)</f>
        <v>12</v>
      </c>
      <c r="L64">
        <f>_xlfn.XLOOKUP(B64,Brains[Programming/Control],Brains[Computer/X],,,)</f>
        <v>2</v>
      </c>
      <c r="M64" s="12" t="str">
        <f>_xlfn.XLOOKUP(B64,Brains[Programming/Control],Brains[Base capability (built-in no bandwidth, cumulative)],,,)</f>
        <v>Intelligent Interface, Expert/1, Security/1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156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10</v>
      </c>
      <c r="L65">
        <f>_xlfn.XLOOKUP(B65,Bandwidth[Minimum Base Brain],Bandwidth[Bandwidth],,,)+L64</f>
        <v>4</v>
      </c>
      <c r="M65" t="s">
        <v>310</v>
      </c>
      <c r="P65" s="136">
        <f>_xlfn.XLOOKUP(B65,Bandwidth[Minimum Base Brain],Bandwidth[Cost],,,)</f>
        <v>5000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1</v>
      </c>
      <c r="E66" s="39"/>
      <c r="F66" s="37" cm="1">
        <f t="array" ref="F66">_xlfn.IFS(B66=0,0,B66=1,-1,B66=2,-3,B66=3,-6)</f>
        <v>-1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3</v>
      </c>
      <c r="M66" t="s">
        <v>310</v>
      </c>
      <c r="P66" s="136" cm="1">
        <f t="array" ref="P66">_xlfn.IFS(B66=0,0,B66=1,(H64+1)*1000,B66=2,(H64+1)*(H64+2)*1000,B66=3,(H64+1)*(H64+2)*(H64+3)*1000)*IF(H66&gt;11,2,1)</f>
        <v>9000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2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30" t="s">
        <v>131</v>
      </c>
      <c r="B73" s="193"/>
      <c r="C73" s="227"/>
      <c r="D73" s="57">
        <v>1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1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10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Medic 2,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2000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134</v>
      </c>
      <c r="B74" s="193"/>
      <c r="C74" s="227"/>
      <c r="D74" s="57">
        <v>1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2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12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Persuade 2,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5000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117</v>
      </c>
      <c r="B75" s="193"/>
      <c r="C75" s="227"/>
      <c r="D75" s="57"/>
      <c r="E75" s="39"/>
      <c r="G75" s="59" t="str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/>
      </c>
      <c r="I75" s="58" t="str">
        <f>_xlfn.XLOOKUP(A75,StandardBrain[Name],StandardBrain[Characteristic],,,)</f>
        <v xml:space="preserve"> </v>
      </c>
      <c r="K75" s="43">
        <f>_xlfn.XLOOKUP(A75,StandardBrain[Name],StandardBrain[TL],,,)+D75</f>
        <v>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/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0</v>
      </c>
      <c r="R76" s="203"/>
      <c r="S76" s="204"/>
      <c r="T76" s="204"/>
      <c r="U76" s="204"/>
      <c r="V76" s="204"/>
      <c r="W76" s="204"/>
      <c r="X76" s="204"/>
      <c r="Y76" s="204"/>
      <c r="Z76" s="205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  <c r="R77" s="206"/>
      <c r="S77" s="207"/>
      <c r="T77" s="207"/>
      <c r="U77" s="207"/>
      <c r="V77" s="207"/>
      <c r="W77" s="207"/>
      <c r="X77" s="207"/>
      <c r="Y77" s="207"/>
      <c r="Z77" s="208"/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86400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77700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1">
    <sortCondition ref="A36:A41"/>
  </sortState>
  <dataConsolidate/>
  <mergeCells count="114"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4:D64"/>
    <mergeCell ref="B65:D65"/>
    <mergeCell ref="B69:D69"/>
    <mergeCell ref="B70:D70"/>
    <mergeCell ref="B71:D71"/>
    <mergeCell ref="B73:C73"/>
    <mergeCell ref="A59:D59"/>
    <mergeCell ref="H59:I59"/>
    <mergeCell ref="A60:D60"/>
    <mergeCell ref="H60:I60"/>
    <mergeCell ref="A61:D61"/>
    <mergeCell ref="H61:I61"/>
    <mergeCell ref="A55:D55"/>
    <mergeCell ref="H55:J55"/>
    <mergeCell ref="A56:D56"/>
    <mergeCell ref="H56:J56"/>
    <mergeCell ref="A57:D57"/>
    <mergeCell ref="H57:J57"/>
    <mergeCell ref="A52:D52"/>
    <mergeCell ref="H52:J52"/>
    <mergeCell ref="A53:D53"/>
    <mergeCell ref="H53:J53"/>
    <mergeCell ref="A54:D54"/>
    <mergeCell ref="H54:J54"/>
    <mergeCell ref="A49:D49"/>
    <mergeCell ref="H49:J49"/>
    <mergeCell ref="A50:D50"/>
    <mergeCell ref="H50:J50"/>
    <mergeCell ref="A51:D51"/>
    <mergeCell ref="H51:J51"/>
    <mergeCell ref="A38:D38"/>
    <mergeCell ref="H38:J38"/>
    <mergeCell ref="A39:D39"/>
    <mergeCell ref="H39:J39"/>
    <mergeCell ref="A46:D46"/>
    <mergeCell ref="H46:J46"/>
    <mergeCell ref="A47:D47"/>
    <mergeCell ref="H47:J47"/>
    <mergeCell ref="A48:D48"/>
    <mergeCell ref="H48:J48"/>
    <mergeCell ref="A43:D43"/>
    <mergeCell ref="H43:J43"/>
    <mergeCell ref="A44:D44"/>
    <mergeCell ref="H44:J44"/>
    <mergeCell ref="A45:D45"/>
    <mergeCell ref="H45:J45"/>
    <mergeCell ref="H33:J33"/>
    <mergeCell ref="A34:D34"/>
    <mergeCell ref="H34:J34"/>
    <mergeCell ref="H35:J35"/>
    <mergeCell ref="A36:D36"/>
    <mergeCell ref="H36:J36"/>
    <mergeCell ref="R22:Z77"/>
    <mergeCell ref="B29:D29"/>
    <mergeCell ref="H29:J29"/>
    <mergeCell ref="A30:D30"/>
    <mergeCell ref="H30:J30"/>
    <mergeCell ref="A31:D31"/>
    <mergeCell ref="H31:J31"/>
    <mergeCell ref="A32:D32"/>
    <mergeCell ref="H32:J32"/>
    <mergeCell ref="A33:D33"/>
    <mergeCell ref="A40:D40"/>
    <mergeCell ref="H40:J40"/>
    <mergeCell ref="A41:D41"/>
    <mergeCell ref="H41:J41"/>
    <mergeCell ref="A42:D42"/>
    <mergeCell ref="H42:J42"/>
    <mergeCell ref="A37:D37"/>
    <mergeCell ref="H37:J37"/>
    <mergeCell ref="S13:Z13"/>
    <mergeCell ref="R14:R19"/>
    <mergeCell ref="S14:Z19"/>
    <mergeCell ref="G10:H10"/>
    <mergeCell ref="K10:M10"/>
    <mergeCell ref="S9:Z9"/>
    <mergeCell ref="G11:H11"/>
    <mergeCell ref="K11:L11"/>
    <mergeCell ref="S10:Z10"/>
    <mergeCell ref="G8:I8"/>
    <mergeCell ref="K8:M8"/>
    <mergeCell ref="G9:I9"/>
    <mergeCell ref="K9:M9"/>
    <mergeCell ref="G12:O12"/>
    <mergeCell ref="S11:Z11"/>
    <mergeCell ref="S12:Z12"/>
    <mergeCell ref="R7:R8"/>
    <mergeCell ref="S7:Z8"/>
    <mergeCell ref="B2:D2"/>
    <mergeCell ref="F2:H2"/>
    <mergeCell ref="I2:M2"/>
    <mergeCell ref="G3:J3"/>
    <mergeCell ref="G4:I4"/>
    <mergeCell ref="K4:L4"/>
    <mergeCell ref="G5:I5"/>
    <mergeCell ref="H6:N6"/>
    <mergeCell ref="G7:I7"/>
  </mergeCells>
  <conditionalFormatting sqref="B14">
    <cfRule type="expression" dxfId="77" priority="6">
      <formula>ABS($J$14-6) &gt; 6</formula>
    </cfRule>
  </conditionalFormatting>
  <conditionalFormatting sqref="E2">
    <cfRule type="expression" dxfId="76" priority="4">
      <formula>$E$2&lt;0</formula>
    </cfRule>
  </conditionalFormatting>
  <conditionalFormatting sqref="E15:E17">
    <cfRule type="expression" dxfId="75" priority="1">
      <formula>AND($B$4=0,E15&lt;0)</formula>
    </cfRule>
  </conditionalFormatting>
  <conditionalFormatting sqref="K5 K30:K34 K36:K57 K59:K61 K64:K67 K73:K90">
    <cfRule type="expression" dxfId="74" priority="5">
      <formula>K5&gt;$O$2</formula>
    </cfRule>
  </conditionalFormatting>
  <conditionalFormatting sqref="L57">
    <cfRule type="expression" dxfId="73" priority="2">
      <formula>L57&gt;$O$2</formula>
    </cfRule>
  </conditionalFormatting>
  <conditionalFormatting sqref="L67">
    <cfRule type="expression" dxfId="72" priority="3">
      <formula>L67&lt;0</formula>
    </cfRule>
  </conditionalFormatting>
  <dataValidations count="20">
    <dataValidation type="whole" allowBlank="1" showInputMessage="1" showErrorMessage="1" error="Total Armour cannot exceed Maximum" sqref="B7" xr:uid="{5979E740-FB43-4133-A132-97CC0C9DADB2}">
      <formula1>-1</formula1>
      <formula2>L7-MID(A7,18,1)</formula2>
    </dataValidation>
    <dataValidation type="whole" allowBlank="1" showInputMessage="1" showErrorMessage="1" error="Max DEX = TL+3" sqref="K19:K28" xr:uid="{F25F36D7-F1FA-4B9D-8BAA-CC034EBD0857}">
      <formula1>0</formula1>
      <formula2>J19-D19</formula2>
    </dataValidation>
    <dataValidation type="whole" allowBlank="1" showInputMessage="1" showErrorMessage="1" error="Max STR = Lesser of Size + TL or SIZE X 4" sqref="G19:G28" xr:uid="{7FADE423-3BF3-4DDE-9A2D-AC7CE220F082}">
      <formula1>0</formula1>
      <formula2>F19-C19</formula2>
    </dataValidation>
    <dataValidation type="whole" allowBlank="1" showInputMessage="1" showErrorMessage="1" sqref="E13:E14" xr:uid="{23A14624-6B19-4F48-8A8C-CE908E5D626E}">
      <formula1>0</formula1>
      <formula2>#REF!/2</formula2>
    </dataValidation>
    <dataValidation type="whole" allowBlank="1" showInputMessage="1" showErrorMessage="1" sqref="C14:D14" xr:uid="{59D27736-C0C8-44C2-921F-C554F549AFDD}">
      <formula1>0</formula1>
      <formula2>D15/2</formula2>
    </dataValidation>
    <dataValidation type="whole" allowBlank="1" showInputMessage="1" showErrorMessage="1" sqref="C13:D13" xr:uid="{BB06FCE0-9BF3-4868-9EC2-8B6B7AD6557E}">
      <formula1>0</formula1>
      <formula2>D5/2</formula2>
    </dataValidation>
    <dataValidation type="whole" allowBlank="1" showInputMessage="1" showErrorMessage="1" sqref="C11:D11" xr:uid="{48FEFF76-E3B4-4455-93C2-B52D3C658B4C}">
      <formula1>0</formula1>
      <formula2>D4/2</formula2>
    </dataValidation>
    <dataValidation type="whole" allowBlank="1" showInputMessage="1" showErrorMessage="1" error="Must be whole number between -6 and +12" sqref="B14" xr:uid="{6045EF65-0B53-40FF-9627-A32BECA7F59C}">
      <formula1>-6</formula1>
      <formula2>12</formula2>
    </dataValidation>
    <dataValidation type="list" allowBlank="1" showInputMessage="1" showErrorMessage="1" sqref="B16" xr:uid="{2830060D-7AE3-4FC8-9834-6E73828635E2}">
      <formula1>"No,1X,2X,3X"</formula1>
    </dataValidation>
    <dataValidation type="list" allowBlank="1" showInputMessage="1" showErrorMessage="1" sqref="B15" xr:uid="{E69B6557-249F-4994-934D-7A1514C53D30}">
      <formula1>"FALSE,TRUE"</formula1>
    </dataValidation>
    <dataValidation type="list" allowBlank="1" showInputMessage="1" showErrorMessage="1" sqref="D73:D90 B66" xr:uid="{B8547B73-045F-4723-A737-3B7EF5E15D41}">
      <formula1>"0,1,2,3"</formula1>
    </dataValidation>
    <dataValidation type="list" allowBlank="1" showInputMessage="1" showErrorMessage="1" sqref="B13" xr:uid="{B0CA1582-9903-49C6-A3B5-F6A518CBDEBB}">
      <formula1>"0,1,2,3,4"</formula1>
    </dataValidation>
    <dataValidation type="list" allowBlank="1" showInputMessage="1" showErrorMessage="1" sqref="B27:B28 B67 B8" xr:uid="{9F91F563-20C6-4B03-9B4B-73892C053F3B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2209DB4F-4E3D-4144-8B19-028674EC440E}">
      <formula1>0</formula1>
      <formula2>$B$4+2</formula2>
    </dataValidation>
    <dataValidation type="list" allowBlank="1" showInputMessage="1" showErrorMessage="1" sqref="O2" xr:uid="{EB7DF45C-E764-4140-8579-476805C177FE}">
      <formula1>"7,8,9,10,11,12,13,14,15,16,17,18"</formula1>
    </dataValidation>
    <dataValidation type="list" allowBlank="1" showInputMessage="1" showErrorMessage="1" sqref="B4" xr:uid="{C5AEB88A-CD13-461A-B901-839F02794431}">
      <formula1>"0,1,2,3,4,5,6,7,8"</formula1>
    </dataValidation>
    <dataValidation type="list" allowBlank="1" showInputMessage="1" showErrorMessage="1" error="Maximum = 3" sqref="B9" xr:uid="{70AB7BFC-FECD-40E2-AB5A-F57ECF2E37C0}">
      <formula1>"0,1,2,3"</formula1>
    </dataValidation>
    <dataValidation type="whole" allowBlank="1" showInputMessage="1" showErrorMessage="1" sqref="E11" xr:uid="{1026F60A-2597-4CB1-AC0D-3D1AC893BF48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EB7E61E0-9A5F-4C9F-B9A0-384EDF42B343}">
      <formula1>0</formula1>
      <formula2>E4/2</formula2>
    </dataValidation>
    <dataValidation type="whole" allowBlank="1" showInputMessage="1" showErrorMessage="1" error="Must be a negative number no less than a 50% of the base hits" sqref="B11" xr:uid="{03F4879C-6556-4A5A-8B19-F44F2557B94F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BF310480-C6CB-4D0E-A677-00C68197402D}">
          <x14:formula1>
            <xm:f>Brains!$B$3:$B$19</xm:f>
          </x14:formula1>
          <xm:sqref>B64</xm:sqref>
        </x14:dataValidation>
        <x14:dataValidation type="list" allowBlank="1" showInputMessage="1" showErrorMessage="1" xr:uid="{16A9875D-57A7-4A22-90AA-0B4841DBBF08}">
          <x14:formula1>
            <xm:f>Brains!$K$3:$K$16</xm:f>
          </x14:formula1>
          <xm:sqref>B65</xm:sqref>
        </x14:dataValidation>
        <x14:dataValidation type="list" allowBlank="1" showInputMessage="1" showErrorMessage="1" xr:uid="{BCFCF316-F2A1-45A3-8216-F123528FE1EF}">
          <x14:formula1>
            <xm:f>Packages!$B$29:$B$68</xm:f>
          </x14:formula1>
          <xm:sqref>A73:A90</xm:sqref>
        </x14:dataValidation>
        <x14:dataValidation type="list" allowBlank="1" showInputMessage="1" showErrorMessage="1" xr:uid="{EB1059D9-1C77-4AB1-B85D-6B91C33FF449}">
          <x14:formula1>
            <xm:f>Options!$C$9:$C$251</xm:f>
          </x14:formula1>
          <xm:sqref>A36:A56</xm:sqref>
        </x14:dataValidation>
        <x14:dataValidation type="list" allowBlank="1" showInputMessage="1" showErrorMessage="1" xr:uid="{99571E5D-B2BE-46B4-B88A-5160C929156F}">
          <x14:formula1>
            <xm:f>Packages!$B$23:$B$25</xm:f>
          </x14:formula1>
          <xm:sqref>B71</xm:sqref>
        </x14:dataValidation>
        <x14:dataValidation type="list" allowBlank="1" showInputMessage="1" showErrorMessage="1" xr:uid="{5232F17D-9930-4CEB-BBA6-C414D8B14475}">
          <x14:formula1>
            <xm:f>Packages!$B$3:$B$7</xm:f>
          </x14:formula1>
          <xm:sqref>B69</xm:sqref>
        </x14:dataValidation>
        <x14:dataValidation type="list" allowBlank="1" showInputMessage="1" showErrorMessage="1" xr:uid="{6B3B737B-97F5-415A-9AEB-E69E07877707}">
          <x14:formula1>
            <xm:f>Packages!$B$11:$B$19</xm:f>
          </x14:formula1>
          <xm:sqref>B70</xm:sqref>
        </x14:dataValidation>
        <x14:dataValidation type="list" allowBlank="1" showInputMessage="1" showErrorMessage="1" xr:uid="{7222C3F6-03BE-4FE8-9E88-6F044D00A8A9}">
          <x14:formula1>
            <xm:f>Chassis!$H$3:$H$13</xm:f>
          </x14:formula1>
          <xm:sqref>B17 B5</xm:sqref>
        </x14:dataValidation>
        <x14:dataValidation type="list" allowBlank="1" showInputMessage="1" showErrorMessage="1" xr:uid="{9F8FCCDB-23CD-4429-A5DB-7CA6BA756E40}">
          <x14:formula1>
            <xm:f>Options!$C$9:$C$71</xm:f>
          </x14:formula1>
          <xm:sqref>A30:A34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3FD5-37E5-4C4A-9D7F-87B581472648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 t="s">
        <v>829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192700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4</v>
      </c>
      <c r="E4" s="114">
        <f>_xlfn.XLOOKUP(B4,Size[Size],Size[Base Slots],,,)</f>
        <v>8</v>
      </c>
      <c r="F4" s="37">
        <f>B4+O2</f>
        <v>19</v>
      </c>
      <c r="G4" s="168" t="s">
        <v>299</v>
      </c>
      <c r="H4" s="168"/>
      <c r="I4" s="169"/>
      <c r="J4" s="108">
        <f>_xlfn.XLOOKUP(B4,Size[Size],Size[Base hits],,,)</f>
        <v>12</v>
      </c>
      <c r="K4" s="170" t="s">
        <v>727</v>
      </c>
      <c r="L4" s="171"/>
      <c r="M4" s="52">
        <f>_xlfn.XLOOKUP(B4,Size[Size],Size[Basic Cost],,,)</f>
        <v>800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(-1), </v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8000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Enhanced Medic Droid</v>
      </c>
      <c r="S6" s="143">
        <f>M11</f>
        <v>12</v>
      </c>
      <c r="T6" s="143" t="str">
        <f>B5</f>
        <v>Walker</v>
      </c>
      <c r="U6" s="143" t="str">
        <f>_xlfn.CONCAT(J14," m")</f>
        <v>5 m</v>
      </c>
      <c r="V6" s="144">
        <f>O2</f>
        <v>15</v>
      </c>
      <c r="W6" s="147">
        <f>P91</f>
        <v>214150</v>
      </c>
      <c r="X6" s="151">
        <f>IF(I2="Standard Design",0.1,0)</f>
        <v>0.1</v>
      </c>
      <c r="Y6" s="152">
        <v>2</v>
      </c>
      <c r="Z6" s="147">
        <f>FLOOR(P91*(1-X6),100)</f>
        <v>192700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Medic 3, Persuade 3,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144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-1</v>
      </c>
      <c r="F9" s="37"/>
      <c r="G9" s="179" t="s">
        <v>302</v>
      </c>
      <c r="H9" s="179"/>
      <c r="I9" s="180"/>
      <c r="J9" s="51">
        <f>J8*(1+B9)</f>
        <v>288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500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15)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12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288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Small (-1), (idle),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Very 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288 hours</v>
      </c>
      <c r="L14" s="5"/>
      <c r="M14" s="5"/>
      <c r="N14" s="5"/>
      <c r="P14" s="136">
        <f>B14*0.1*P5</f>
        <v>0</v>
      </c>
      <c r="R14" s="245" t="s">
        <v>475</v>
      </c>
      <c r="S14" s="233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(basic), Visual Spectrum Sensor, Voder Speaker, Wireless Data Link, Drone Interface, Medikit (enhanced), Quick Charger, Storage Compartment (refrigerated), Storage Compartment (standard), Vacuum Environment Protection, , , , , , , , , , , , , , , </v>
      </c>
      <c r="T14" s="233"/>
      <c r="U14" s="233"/>
      <c r="V14" s="233"/>
      <c r="W14" s="233"/>
      <c r="X14" s="233"/>
      <c r="Y14" s="233"/>
      <c r="Z14" s="233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46"/>
      <c r="S15" s="247"/>
      <c r="T15" s="247"/>
      <c r="U15" s="247"/>
      <c r="V15" s="247"/>
      <c r="W15" s="247"/>
      <c r="X15" s="247"/>
      <c r="Y15" s="247"/>
      <c r="Z15" s="247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46"/>
      <c r="S16" s="247"/>
      <c r="T16" s="247"/>
      <c r="U16" s="247"/>
      <c r="V16" s="247"/>
      <c r="W16" s="247"/>
      <c r="X16" s="247"/>
      <c r="Y16" s="247"/>
      <c r="Z16" s="247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46"/>
      <c r="S17" s="247"/>
      <c r="T17" s="247"/>
      <c r="U17" s="247"/>
      <c r="V17" s="247"/>
      <c r="W17" s="247"/>
      <c r="X17" s="247"/>
      <c r="Y17" s="247"/>
      <c r="Z17" s="247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46"/>
      <c r="S18" s="247"/>
      <c r="T18" s="247"/>
      <c r="U18" s="247"/>
      <c r="V18" s="247"/>
      <c r="W18" s="247"/>
      <c r="X18" s="247"/>
      <c r="Y18" s="247"/>
      <c r="Z18" s="247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9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18</v>
      </c>
      <c r="K19" s="16">
        <v>6</v>
      </c>
      <c r="L19" s="60">
        <f t="shared" ref="L19:L28" si="5">D19+K19</f>
        <v>15</v>
      </c>
      <c r="M19" s="61">
        <f>IF(L19&gt;20,5,IF(L19&gt;17,4,IF(L19&gt;14,3,IF(L19&gt;11,2,IF(L19&gt;8,1,IF(L19&gt;5,0,IF(L19&gt;2,-1,-2)))))))</f>
        <v>3</v>
      </c>
      <c r="O19" s="12" t="str">
        <f t="shared" ref="O19:O28" si="6">IF(I19&gt;0,_xlfn.CONCAT("Athletics (strength) ",I19,", "),"")</f>
        <v/>
      </c>
      <c r="P19" s="136">
        <f>IF((B19-$B$4)*100&gt;-0.2*$P$5,(B19-$B$4)*100,-0.2*$P$5)+B19*100*(G19)^2+B19*200*(K19)^2</f>
        <v>28800</v>
      </c>
      <c r="R19" s="246"/>
      <c r="S19" s="247"/>
      <c r="T19" s="247"/>
      <c r="U19" s="247"/>
      <c r="V19" s="247"/>
      <c r="W19" s="247"/>
      <c r="X19" s="247"/>
      <c r="Y19" s="247"/>
      <c r="Z19" s="247"/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7">IF(B20=0,0,ROUNDUP($O$2/2+1,0))</f>
        <v>9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18</v>
      </c>
      <c r="K20" s="16">
        <v>6</v>
      </c>
      <c r="L20" s="6">
        <f t="shared" si="5"/>
        <v>15</v>
      </c>
      <c r="M20" s="61">
        <f t="shared" ref="M20:M28" si="8">IF(L20&gt;20,5,IF(L20&gt;17,4,IF(L20&gt;14,3,IF(L20&gt;11,2,IF(L20&gt;8,1,IF(L20&gt;5,0,IF(L20&gt;2,-1,-2)))))))</f>
        <v>3</v>
      </c>
      <c r="O20" s="5" t="str">
        <f t="shared" si="6"/>
        <v/>
      </c>
      <c r="P20" s="136">
        <f>IF((B20-$B$4)*100&gt;-0.2*$P$5,(B20-$B$4)*100,-0.2*$P$5)+B20*100*(G20)^2+B20*200*(K20)^2</f>
        <v>28800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7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5"/>
        <v>0</v>
      </c>
      <c r="M21" s="61">
        <f t="shared" si="8"/>
        <v>-2</v>
      </c>
      <c r="O21" s="5" t="str">
        <f t="shared" si="6"/>
        <v/>
      </c>
      <c r="P21" s="136">
        <f t="shared" ref="P21:P26" si="9">(B21)*100+B21*100*(G21)^2+B21*200*(K21)^2</f>
        <v>0</v>
      </c>
      <c r="R21" s="7" t="s">
        <v>798</v>
      </c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7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5"/>
        <v>0</v>
      </c>
      <c r="M22" s="61">
        <f t="shared" si="8"/>
        <v>-2</v>
      </c>
      <c r="O22" s="5" t="str">
        <f t="shared" si="6"/>
        <v/>
      </c>
      <c r="P22" s="136">
        <f t="shared" si="9"/>
        <v>0</v>
      </c>
      <c r="R22" s="200"/>
      <c r="S22" s="201"/>
      <c r="T22" s="201"/>
      <c r="U22" s="201"/>
      <c r="V22" s="201"/>
      <c r="W22" s="201"/>
      <c r="X22" s="201"/>
      <c r="Y22" s="201"/>
      <c r="Z22" s="202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7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5"/>
        <v>0</v>
      </c>
      <c r="M23" s="61">
        <f t="shared" si="8"/>
        <v>-2</v>
      </c>
      <c r="O23" s="5" t="str">
        <f t="shared" si="6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7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5"/>
        <v>0</v>
      </c>
      <c r="M24" s="61">
        <f t="shared" si="8"/>
        <v>-2</v>
      </c>
      <c r="O24" s="5" t="str">
        <f t="shared" si="6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7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5"/>
        <v>0</v>
      </c>
      <c r="M25" s="61">
        <f t="shared" si="8"/>
        <v>-2</v>
      </c>
      <c r="O25" s="5" t="str">
        <f t="shared" si="6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7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5"/>
        <v>0</v>
      </c>
      <c r="M26" s="157">
        <f t="shared" si="8"/>
        <v>-2</v>
      </c>
      <c r="O26" s="5" t="str">
        <f t="shared" si="6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88" t="str">
        <f t="shared" si="6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5"/>
        <v>0</v>
      </c>
      <c r="M28" s="61">
        <f t="shared" si="8"/>
        <v>-2</v>
      </c>
      <c r="N28" s="24"/>
      <c r="O28" s="5" t="str">
        <f t="shared" si="6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463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7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202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2 max skill</v>
      </c>
      <c r="I37" s="194"/>
      <c r="J37" s="194"/>
      <c r="K37" s="43">
        <f>_xlfn.XLOOKUP(A37,OptionsTable[Name],OptionsTable[TL],,,)</f>
        <v>12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5000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641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-2</v>
      </c>
      <c r="F38" s="37">
        <f>IF(_xlfn.XLOOKUP(A38,OptionsTable[Name],OptionsTable[xS],,,)=FALSE,1,IF($B$4&gt;0,$E$4,1))</f>
        <v>1</v>
      </c>
      <c r="G38" s="57">
        <v>2</v>
      </c>
      <c r="H38" s="193" t="str">
        <f>IF(_xlfn.XLOOKUP(A38,OptionsTable[Name],OptionsTable[Notes],,,)="","",_xlfn.XLOOKUP(A38,OptionsTable[Name],OptionsTable[Notes],,,))</f>
        <v>1 hour recharge</v>
      </c>
      <c r="I38" s="194"/>
      <c r="J38" s="194"/>
      <c r="K38" s="43">
        <f>_xlfn.XLOOKUP(A38,OptionsTable[Name],OptionsTable[TL],,,)</f>
        <v>8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400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190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-2</v>
      </c>
      <c r="F39" s="37">
        <f>IF(_xlfn.XLOOKUP(A39,OptionsTable[Name],OptionsTable[xS],,,)=FALSE,1,IF($B$4&gt;0,$E$4,1))</f>
        <v>1</v>
      </c>
      <c r="G39" s="57">
        <v>2</v>
      </c>
      <c r="H39" s="193" t="str">
        <f>IF(_xlfn.XLOOKUP(A39,OptionsTable[Name],OptionsTable[Notes],,,)="","",_xlfn.XLOOKUP(A39,OptionsTable[Name],OptionsTable[Notes],,,))</f>
        <v>2 kg or litres / slot</v>
      </c>
      <c r="I39" s="194"/>
      <c r="J39" s="194"/>
      <c r="K39" s="43">
        <f>_xlfn.XLOOKUP(A39,OptionsTable[Name],OptionsTable[TL],,,)</f>
        <v>6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200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471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-1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>2 kg or litres / slot</v>
      </c>
      <c r="I40" s="194"/>
      <c r="J40" s="194"/>
      <c r="K40" s="43">
        <f>_xlfn.XLOOKUP(A40,OptionsTable[Name],OptionsTable[TL],,,)</f>
        <v>6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50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 t="s">
        <v>100</v>
      </c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8</v>
      </c>
      <c r="G41" s="57"/>
      <c r="H41" s="193" t="str">
        <f>IF(_xlfn.XLOOKUP(A41,OptionsTable[Name],OptionsTable[Notes],,,)="","",_xlfn.XLOOKUP(A41,OptionsTable[Name],OptionsTable[Notes],,,))</f>
        <v>+ Hostile env</v>
      </c>
      <c r="I41" s="194"/>
      <c r="J41" s="194"/>
      <c r="K41" s="43">
        <f>_xlfn.XLOOKUP(A41,OptionsTable[Name],OptionsTable[TL],,,)</f>
        <v>6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4800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81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9</v>
      </c>
      <c r="I64" s="31">
        <f>IF(H64&gt;17,4,IF(H64&gt;14,3,IF(H64&gt;11,2,IF(H64&gt;8,1,IF(H64&gt;5,0,IF(H64&gt;2,-1,-2))))))</f>
        <v>1</v>
      </c>
      <c r="J64" s="1">
        <f>_xlfn.XLOOKUP(B64,Brains[Programming/Control],Brains[Computer/X],,,)</f>
        <v>3</v>
      </c>
      <c r="K64" s="43">
        <f>_xlfn.XLOOKUP(B64,Brains[Programming/Control],Brains[TL],,,)</f>
        <v>12</v>
      </c>
      <c r="L64">
        <f>_xlfn.XLOOKUP(B64,Brains[Programming/Control],Brains[Computer/X],,,)</f>
        <v>3</v>
      </c>
      <c r="M64" s="12" t="str">
        <f>_xlfn.XLOOKUP(B64,Brains[Programming/Control],Brains[Base capability (built-in no bandwidth, cumulative)],,,)</f>
        <v>Intellect Interface, Expert/2, Security/2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62500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156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10</v>
      </c>
      <c r="L65">
        <f>_xlfn.XLOOKUP(B65,Bandwidth[Minimum Base Brain],Bandwidth[Bandwidth],,,)+L64</f>
        <v>5</v>
      </c>
      <c r="M65" t="s">
        <v>310</v>
      </c>
      <c r="P65" s="136">
        <f>_xlfn.XLOOKUP(B65,Bandwidth[Minimum Base Brain],Bandwidth[Cost],,,)</f>
        <v>5000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5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3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30" t="s">
        <v>131</v>
      </c>
      <c r="B73" s="193"/>
      <c r="C73" s="227"/>
      <c r="D73" s="57">
        <v>2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2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11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Medic 3,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20000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134</v>
      </c>
      <c r="B74" s="193"/>
      <c r="C74" s="227"/>
      <c r="D74" s="57">
        <v>2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3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13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Persuade 3,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50000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117</v>
      </c>
      <c r="B75" s="193"/>
      <c r="C75" s="227"/>
      <c r="D75" s="57"/>
      <c r="E75" s="39"/>
      <c r="G75" s="59" t="str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/>
      </c>
      <c r="I75" s="58" t="str">
        <f>_xlfn.XLOOKUP(A75,StandardBrain[Name],StandardBrain[Characteristic],,,)</f>
        <v xml:space="preserve"> </v>
      </c>
      <c r="K75" s="43">
        <f>_xlfn.XLOOKUP(A75,StandardBrain[Name],StandardBrain[TL],,,)+D75</f>
        <v>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/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0</v>
      </c>
      <c r="R76" s="203"/>
      <c r="S76" s="204"/>
      <c r="T76" s="204"/>
      <c r="U76" s="204"/>
      <c r="V76" s="204"/>
      <c r="W76" s="204"/>
      <c r="X76" s="204"/>
      <c r="Y76" s="204"/>
      <c r="Z76" s="205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  <c r="R77" s="206"/>
      <c r="S77" s="207"/>
      <c r="T77" s="207"/>
      <c r="U77" s="207"/>
      <c r="V77" s="207"/>
      <c r="W77" s="207"/>
      <c r="X77" s="207"/>
      <c r="Y77" s="207"/>
      <c r="Z77" s="208"/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214150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192700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1">
    <sortCondition ref="A36:A41"/>
  </sortState>
  <dataConsolidate/>
  <mergeCells count="114"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4:D64"/>
    <mergeCell ref="B65:D65"/>
    <mergeCell ref="B69:D69"/>
    <mergeCell ref="B70:D70"/>
    <mergeCell ref="B71:D71"/>
    <mergeCell ref="B73:C73"/>
    <mergeCell ref="A59:D59"/>
    <mergeCell ref="H59:I59"/>
    <mergeCell ref="A60:D60"/>
    <mergeCell ref="H60:I60"/>
    <mergeCell ref="A61:D61"/>
    <mergeCell ref="H61:I61"/>
    <mergeCell ref="A55:D55"/>
    <mergeCell ref="H55:J55"/>
    <mergeCell ref="A56:D56"/>
    <mergeCell ref="H56:J56"/>
    <mergeCell ref="A57:D57"/>
    <mergeCell ref="H57:J57"/>
    <mergeCell ref="A52:D52"/>
    <mergeCell ref="H52:J52"/>
    <mergeCell ref="A53:D53"/>
    <mergeCell ref="H53:J53"/>
    <mergeCell ref="A54:D54"/>
    <mergeCell ref="H54:J54"/>
    <mergeCell ref="A49:D49"/>
    <mergeCell ref="H49:J49"/>
    <mergeCell ref="A50:D50"/>
    <mergeCell ref="H50:J50"/>
    <mergeCell ref="A51:D51"/>
    <mergeCell ref="H51:J51"/>
    <mergeCell ref="A38:D38"/>
    <mergeCell ref="H38:J38"/>
    <mergeCell ref="A39:D39"/>
    <mergeCell ref="H39:J39"/>
    <mergeCell ref="A46:D46"/>
    <mergeCell ref="H46:J46"/>
    <mergeCell ref="A47:D47"/>
    <mergeCell ref="H47:J47"/>
    <mergeCell ref="A48:D48"/>
    <mergeCell ref="H48:J48"/>
    <mergeCell ref="A43:D43"/>
    <mergeCell ref="H43:J43"/>
    <mergeCell ref="A44:D44"/>
    <mergeCell ref="H44:J44"/>
    <mergeCell ref="A45:D45"/>
    <mergeCell ref="H45:J45"/>
    <mergeCell ref="H33:J33"/>
    <mergeCell ref="A34:D34"/>
    <mergeCell ref="H34:J34"/>
    <mergeCell ref="H35:J35"/>
    <mergeCell ref="A36:D36"/>
    <mergeCell ref="H36:J36"/>
    <mergeCell ref="R22:Z77"/>
    <mergeCell ref="B29:D29"/>
    <mergeCell ref="H29:J29"/>
    <mergeCell ref="A30:D30"/>
    <mergeCell ref="H30:J30"/>
    <mergeCell ref="A31:D31"/>
    <mergeCell ref="H31:J31"/>
    <mergeCell ref="A32:D32"/>
    <mergeCell ref="H32:J32"/>
    <mergeCell ref="A33:D33"/>
    <mergeCell ref="A40:D40"/>
    <mergeCell ref="H40:J40"/>
    <mergeCell ref="A41:D41"/>
    <mergeCell ref="H41:J41"/>
    <mergeCell ref="A42:D42"/>
    <mergeCell ref="H42:J42"/>
    <mergeCell ref="A37:D37"/>
    <mergeCell ref="H37:J37"/>
    <mergeCell ref="S13:Z13"/>
    <mergeCell ref="R14:R19"/>
    <mergeCell ref="S14:Z19"/>
    <mergeCell ref="G10:H10"/>
    <mergeCell ref="K10:M10"/>
    <mergeCell ref="S9:Z9"/>
    <mergeCell ref="G11:H11"/>
    <mergeCell ref="K11:L11"/>
    <mergeCell ref="S10:Z10"/>
    <mergeCell ref="G8:I8"/>
    <mergeCell ref="K8:M8"/>
    <mergeCell ref="G9:I9"/>
    <mergeCell ref="K9:M9"/>
    <mergeCell ref="G12:O12"/>
    <mergeCell ref="S11:Z11"/>
    <mergeCell ref="S12:Z12"/>
    <mergeCell ref="R7:R8"/>
    <mergeCell ref="S7:Z8"/>
    <mergeCell ref="B2:D2"/>
    <mergeCell ref="F2:H2"/>
    <mergeCell ref="I2:M2"/>
    <mergeCell ref="G3:J3"/>
    <mergeCell ref="G4:I4"/>
    <mergeCell ref="K4:L4"/>
    <mergeCell ref="G5:I5"/>
    <mergeCell ref="H6:N6"/>
    <mergeCell ref="G7:I7"/>
  </mergeCells>
  <conditionalFormatting sqref="B14">
    <cfRule type="expression" dxfId="71" priority="6">
      <formula>ABS($J$14-6) &gt; 6</formula>
    </cfRule>
  </conditionalFormatting>
  <conditionalFormatting sqref="E2">
    <cfRule type="expression" dxfId="70" priority="4">
      <formula>$E$2&lt;0</formula>
    </cfRule>
  </conditionalFormatting>
  <conditionalFormatting sqref="E15:E17">
    <cfRule type="expression" dxfId="69" priority="1">
      <formula>AND($B$4=0,E15&lt;0)</formula>
    </cfRule>
  </conditionalFormatting>
  <conditionalFormatting sqref="K5 K30:K34 K36:K57 K59:K61 K64:K67 K73:K90">
    <cfRule type="expression" dxfId="68" priority="5">
      <formula>K5&gt;$O$2</formula>
    </cfRule>
  </conditionalFormatting>
  <conditionalFormatting sqref="L57">
    <cfRule type="expression" dxfId="67" priority="2">
      <formula>L57&gt;$O$2</formula>
    </cfRule>
  </conditionalFormatting>
  <conditionalFormatting sqref="L67">
    <cfRule type="expression" dxfId="66" priority="3">
      <formula>L67&lt;0</formula>
    </cfRule>
  </conditionalFormatting>
  <dataValidations count="20">
    <dataValidation type="whole" allowBlank="1" showInputMessage="1" showErrorMessage="1" error="Total Armour cannot exceed Maximum" sqref="B7" xr:uid="{0C5C4514-85EF-4BB5-BF1B-B6BEFC6577A0}">
      <formula1>-1</formula1>
      <formula2>L7-MID(A7,18,1)</formula2>
    </dataValidation>
    <dataValidation type="whole" allowBlank="1" showInputMessage="1" showErrorMessage="1" error="Max DEX = TL+3" sqref="K19:K28" xr:uid="{37016F21-927B-4ABE-9496-D50DCD6F34AE}">
      <formula1>0</formula1>
      <formula2>J19-D19</formula2>
    </dataValidation>
    <dataValidation type="whole" allowBlank="1" showInputMessage="1" showErrorMessage="1" error="Max STR = Lesser of Size + TL or SIZE X 4" sqref="G19:G28" xr:uid="{E9CA7778-D721-4095-9DC8-AB4B05AA7B1B}">
      <formula1>0</formula1>
      <formula2>F19-C19</formula2>
    </dataValidation>
    <dataValidation type="whole" allowBlank="1" showInputMessage="1" showErrorMessage="1" sqref="E13:E14" xr:uid="{EB6629A3-361C-496D-9B4A-A77C6D2A5FFA}">
      <formula1>0</formula1>
      <formula2>#REF!/2</formula2>
    </dataValidation>
    <dataValidation type="whole" allowBlank="1" showInputMessage="1" showErrorMessage="1" sqref="C14:D14" xr:uid="{198F79D5-4B57-4696-BB83-A90DF4751550}">
      <formula1>0</formula1>
      <formula2>D15/2</formula2>
    </dataValidation>
    <dataValidation type="whole" allowBlank="1" showInputMessage="1" showErrorMessage="1" sqref="C13:D13" xr:uid="{6FED2847-9322-41EA-8AA4-2A04D308441A}">
      <formula1>0</formula1>
      <formula2>D5/2</formula2>
    </dataValidation>
    <dataValidation type="whole" allowBlank="1" showInputMessage="1" showErrorMessage="1" sqref="C11:D11" xr:uid="{A11AD328-CBB9-47E8-830C-0D3EE9A05811}">
      <formula1>0</formula1>
      <formula2>D4/2</formula2>
    </dataValidation>
    <dataValidation type="whole" allowBlank="1" showInputMessage="1" showErrorMessage="1" error="Must be whole number between -6 and +12" sqref="B14" xr:uid="{278135F1-28F3-492A-B944-9FB770724609}">
      <formula1>-6</formula1>
      <formula2>12</formula2>
    </dataValidation>
    <dataValidation type="list" allowBlank="1" showInputMessage="1" showErrorMessage="1" sqref="B16" xr:uid="{A47255EF-2F68-4359-9A19-DA9B203E4D8D}">
      <formula1>"No,1X,2X,3X"</formula1>
    </dataValidation>
    <dataValidation type="list" allowBlank="1" showInputMessage="1" showErrorMessage="1" sqref="B15" xr:uid="{CA360B1B-9431-4227-A40B-FDA6AADD19EC}">
      <formula1>"FALSE,TRUE"</formula1>
    </dataValidation>
    <dataValidation type="list" allowBlank="1" showInputMessage="1" showErrorMessage="1" sqref="D73:D90 B66" xr:uid="{EEB24903-C2E3-46D9-B699-F75386B10A74}">
      <formula1>"0,1,2,3"</formula1>
    </dataValidation>
    <dataValidation type="list" allowBlank="1" showInputMessage="1" showErrorMessage="1" sqref="B13" xr:uid="{2DAA7448-40D3-4CB6-B59B-EFACDE889109}">
      <formula1>"0,1,2,3,4"</formula1>
    </dataValidation>
    <dataValidation type="list" allowBlank="1" showInputMessage="1" showErrorMessage="1" sqref="B27:B28 B67 B8" xr:uid="{182A1880-166C-4296-A5E9-9A8D647DCA3A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601822E1-942C-42F0-A27E-CCA76A557FD4}">
      <formula1>0</formula1>
      <formula2>$B$4+2</formula2>
    </dataValidation>
    <dataValidation type="list" allowBlank="1" showInputMessage="1" showErrorMessage="1" sqref="O2" xr:uid="{97CAEF4A-7772-466E-B49A-F3BDBB646012}">
      <formula1>"7,8,9,10,11,12,13,14,15,16,17,18"</formula1>
    </dataValidation>
    <dataValidation type="list" allowBlank="1" showInputMessage="1" showErrorMessage="1" sqref="B4" xr:uid="{36F7ED0E-3DD7-4BC8-B961-16FBFE8ADB55}">
      <formula1>"0,1,2,3,4,5,6,7,8"</formula1>
    </dataValidation>
    <dataValidation type="list" allowBlank="1" showInputMessage="1" showErrorMessage="1" error="Maximum = 3" sqref="B9" xr:uid="{46D0DA2E-04DC-4AC2-8291-D23C41435AC8}">
      <formula1>"0,1,2,3"</formula1>
    </dataValidation>
    <dataValidation type="whole" allowBlank="1" showInputMessage="1" showErrorMessage="1" sqref="E11" xr:uid="{1413214E-BD88-43BC-B691-9A33929CFAE8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E1C6A57A-811F-4E35-B79D-30B9BE3D3326}">
      <formula1>0</formula1>
      <formula2>E4/2</formula2>
    </dataValidation>
    <dataValidation type="whole" allowBlank="1" showInputMessage="1" showErrorMessage="1" error="Must be a negative number no less than a 50% of the base hits" sqref="B11" xr:uid="{82786BAE-27DE-41B4-B017-F9704C5DE7D0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6F706E1E-7B81-4EC5-9F44-70B371CF959E}">
          <x14:formula1>
            <xm:f>Packages!$B$23:$B$25</xm:f>
          </x14:formula1>
          <xm:sqref>B71</xm:sqref>
        </x14:dataValidation>
        <x14:dataValidation type="list" allowBlank="1" showInputMessage="1" showErrorMessage="1" xr:uid="{4B75734D-1CB5-4993-9FF4-9BEFDD467A57}">
          <x14:formula1>
            <xm:f>Packages!$B$3:$B$7</xm:f>
          </x14:formula1>
          <xm:sqref>B69</xm:sqref>
        </x14:dataValidation>
        <x14:dataValidation type="list" allowBlank="1" showInputMessage="1" showErrorMessage="1" xr:uid="{785E42A0-0FD4-4F36-905C-D312425C9416}">
          <x14:formula1>
            <xm:f>Packages!$B$11:$B$19</xm:f>
          </x14:formula1>
          <xm:sqref>B70</xm:sqref>
        </x14:dataValidation>
        <x14:dataValidation type="list" allowBlank="1" showInputMessage="1" showErrorMessage="1" xr:uid="{D66D8463-2BAE-414B-A010-D70DD48732EA}">
          <x14:formula1>
            <xm:f>Chassis!$H$3:$H$13</xm:f>
          </x14:formula1>
          <xm:sqref>B17 B5</xm:sqref>
        </x14:dataValidation>
        <x14:dataValidation type="list" allowBlank="1" showInputMessage="1" showErrorMessage="1" xr:uid="{88413C8F-FBFD-41F9-854F-D04541906A00}">
          <x14:formula1>
            <xm:f>Options!$C$9:$C$71</xm:f>
          </x14:formula1>
          <xm:sqref>A30:A34</xm:sqref>
        </x14:dataValidation>
        <x14:dataValidation type="list" allowBlank="1" showInputMessage="1" showErrorMessage="1" xr:uid="{CB25AC66-E763-44DE-8B3B-90A6235AE77E}">
          <x14:formula1>
            <xm:f>Options!$C$9:$C$251</xm:f>
          </x14:formula1>
          <xm:sqref>A36:A56</xm:sqref>
        </x14:dataValidation>
        <x14:dataValidation type="list" allowBlank="1" showInputMessage="1" showErrorMessage="1" xr:uid="{C1C05E70-13B8-4B73-A988-85BBB8928FC5}">
          <x14:formula1>
            <xm:f>Packages!$B$29:$B$68</xm:f>
          </x14:formula1>
          <xm:sqref>A73:A90</xm:sqref>
        </x14:dataValidation>
        <x14:dataValidation type="list" allowBlank="1" showInputMessage="1" showErrorMessage="1" xr:uid="{7274F3AD-D447-46AC-9EF3-CBF0E4AFC2DB}">
          <x14:formula1>
            <xm:f>Brains!$K$3:$K$16</xm:f>
          </x14:formula1>
          <xm:sqref>B65</xm:sqref>
        </x14:dataValidation>
        <x14:dataValidation type="list" allowBlank="1" showInputMessage="1" showErrorMessage="1" xr:uid="{E406634C-444E-4493-A61B-9D63F4B2AA23}">
          <x14:formula1>
            <xm:f>Brains!$B$3:$B$19</xm:f>
          </x14:formula1>
          <xm:sqref>B64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7FFCE-83A8-4B7F-9C20-E4BF37B1DF1A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 t="s">
        <v>830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363600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4</v>
      </c>
      <c r="E4" s="114">
        <f>_xlfn.XLOOKUP(B4,Size[Size],Size[Base Slots],,,)</f>
        <v>8</v>
      </c>
      <c r="F4" s="37">
        <f>B4+O2</f>
        <v>19</v>
      </c>
      <c r="G4" s="168" t="s">
        <v>299</v>
      </c>
      <c r="H4" s="168"/>
      <c r="I4" s="169"/>
      <c r="J4" s="108">
        <f>_xlfn.XLOOKUP(B4,Size[Size],Size[Base hits],,,)</f>
        <v>12</v>
      </c>
      <c r="K4" s="170" t="s">
        <v>727</v>
      </c>
      <c r="L4" s="171"/>
      <c r="M4" s="52">
        <f>_xlfn.XLOOKUP(B4,Size[Size],Size[Basic Cost],,,)</f>
        <v>800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(-1), </v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8000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Advanced Medic Droid</v>
      </c>
      <c r="S6" s="143">
        <f>M11</f>
        <v>12</v>
      </c>
      <c r="T6" s="143" t="str">
        <f>B5</f>
        <v>Walker</v>
      </c>
      <c r="U6" s="143" t="str">
        <f>_xlfn.CONCAT(J14," m")</f>
        <v>5 m</v>
      </c>
      <c r="V6" s="144">
        <f>O2</f>
        <v>15</v>
      </c>
      <c r="W6" s="147">
        <f>P91</f>
        <v>404000</v>
      </c>
      <c r="X6" s="151">
        <f>IF(I2="Standard Design",0.1,0)</f>
        <v>0.1</v>
      </c>
      <c r="Y6" s="152">
        <v>2</v>
      </c>
      <c r="Z6" s="147">
        <f>FLOOR(P91*(1-X6),100)</f>
        <v>363600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Medic 4, Persuade 3,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144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-1</v>
      </c>
      <c r="F9" s="37"/>
      <c r="G9" s="179" t="s">
        <v>302</v>
      </c>
      <c r="H9" s="179"/>
      <c r="I9" s="180"/>
      <c r="J9" s="51">
        <f>J8*(1+B9)</f>
        <v>288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500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15)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12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288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Small (-1), (idle),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Very 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288 hours</v>
      </c>
      <c r="L14" s="5"/>
      <c r="M14" s="5"/>
      <c r="N14" s="5"/>
      <c r="P14" s="136">
        <f>B14*0.1*P5</f>
        <v>0</v>
      </c>
      <c r="R14" s="245" t="s">
        <v>475</v>
      </c>
      <c r="S14" s="233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(basic), Visual Spectrum Sensor, Voder Speaker, Wireless Data Link, Drone Interface, Medikit (advanced), Quick Charger, Storage Compartment (refrigerated), Storage Compartment (standard), Vacuum Environment Protection, , , , , , , , , , , , , , , </v>
      </c>
      <c r="T14" s="233"/>
      <c r="U14" s="233"/>
      <c r="V14" s="233"/>
      <c r="W14" s="233"/>
      <c r="X14" s="233"/>
      <c r="Y14" s="233"/>
      <c r="Z14" s="233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46"/>
      <c r="S15" s="247"/>
      <c r="T15" s="247"/>
      <c r="U15" s="247"/>
      <c r="V15" s="247"/>
      <c r="W15" s="247"/>
      <c r="X15" s="247"/>
      <c r="Y15" s="247"/>
      <c r="Z15" s="247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46"/>
      <c r="S16" s="247"/>
      <c r="T16" s="247"/>
      <c r="U16" s="247"/>
      <c r="V16" s="247"/>
      <c r="W16" s="247"/>
      <c r="X16" s="247"/>
      <c r="Y16" s="247"/>
      <c r="Z16" s="247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46"/>
      <c r="S17" s="247"/>
      <c r="T17" s="247"/>
      <c r="U17" s="247"/>
      <c r="V17" s="247"/>
      <c r="W17" s="247"/>
      <c r="X17" s="247"/>
      <c r="Y17" s="247"/>
      <c r="Z17" s="247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46"/>
      <c r="S18" s="247"/>
      <c r="T18" s="247"/>
      <c r="U18" s="247"/>
      <c r="V18" s="247"/>
      <c r="W18" s="247"/>
      <c r="X18" s="247"/>
      <c r="Y18" s="247"/>
      <c r="Z18" s="247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9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18</v>
      </c>
      <c r="K19" s="16">
        <v>6</v>
      </c>
      <c r="L19" s="60">
        <f t="shared" ref="L19:L28" si="5">D19+K19</f>
        <v>15</v>
      </c>
      <c r="M19" s="61">
        <f>IF(L19&gt;20,5,IF(L19&gt;17,4,IF(L19&gt;14,3,IF(L19&gt;11,2,IF(L19&gt;8,1,IF(L19&gt;5,0,IF(L19&gt;2,-1,-2)))))))</f>
        <v>3</v>
      </c>
      <c r="O19" s="12" t="str">
        <f t="shared" ref="O19:O28" si="6">IF(I19&gt;0,_xlfn.CONCAT("Athletics (strength) ",I19,", "),"")</f>
        <v/>
      </c>
      <c r="P19" s="136">
        <f>IF((B19-$B$4)*100&gt;-0.2*$P$5,(B19-$B$4)*100,-0.2*$P$5)+B19*100*(G19)^2+B19*200*(K19)^2</f>
        <v>28800</v>
      </c>
      <c r="R19" s="246"/>
      <c r="S19" s="247"/>
      <c r="T19" s="247"/>
      <c r="U19" s="247"/>
      <c r="V19" s="247"/>
      <c r="W19" s="247"/>
      <c r="X19" s="247"/>
      <c r="Y19" s="247"/>
      <c r="Z19" s="247"/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7">IF(B20=0,0,ROUNDUP($O$2/2+1,0))</f>
        <v>9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18</v>
      </c>
      <c r="K20" s="16">
        <v>6</v>
      </c>
      <c r="L20" s="6">
        <f t="shared" si="5"/>
        <v>15</v>
      </c>
      <c r="M20" s="61">
        <f t="shared" ref="M20:M28" si="8">IF(L20&gt;20,5,IF(L20&gt;17,4,IF(L20&gt;14,3,IF(L20&gt;11,2,IF(L20&gt;8,1,IF(L20&gt;5,0,IF(L20&gt;2,-1,-2)))))))</f>
        <v>3</v>
      </c>
      <c r="O20" s="5" t="str">
        <f t="shared" si="6"/>
        <v/>
      </c>
      <c r="P20" s="136">
        <f>IF((B20-$B$4)*100&gt;-0.2*$P$5,(B20-$B$4)*100,-0.2*$P$5)+B20*100*(G20)^2+B20*200*(K20)^2</f>
        <v>28800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7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5"/>
        <v>0</v>
      </c>
      <c r="M21" s="61">
        <f t="shared" si="8"/>
        <v>-2</v>
      </c>
      <c r="O21" s="5" t="str">
        <f t="shared" si="6"/>
        <v/>
      </c>
      <c r="P21" s="136">
        <f t="shared" ref="P21:P26" si="9">(B21)*100+B21*100*(G21)^2+B21*200*(K21)^2</f>
        <v>0</v>
      </c>
      <c r="R21" s="7" t="s">
        <v>798</v>
      </c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7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5"/>
        <v>0</v>
      </c>
      <c r="M22" s="61">
        <f t="shared" si="8"/>
        <v>-2</v>
      </c>
      <c r="O22" s="5" t="str">
        <f t="shared" si="6"/>
        <v/>
      </c>
      <c r="P22" s="136">
        <f t="shared" si="9"/>
        <v>0</v>
      </c>
      <c r="R22" s="200"/>
      <c r="S22" s="201"/>
      <c r="T22" s="201"/>
      <c r="U22" s="201"/>
      <c r="V22" s="201"/>
      <c r="W22" s="201"/>
      <c r="X22" s="201"/>
      <c r="Y22" s="201"/>
      <c r="Z22" s="202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7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5"/>
        <v>0</v>
      </c>
      <c r="M23" s="61">
        <f t="shared" si="8"/>
        <v>-2</v>
      </c>
      <c r="O23" s="5" t="str">
        <f t="shared" si="6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7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5"/>
        <v>0</v>
      </c>
      <c r="M24" s="61">
        <f t="shared" si="8"/>
        <v>-2</v>
      </c>
      <c r="O24" s="5" t="str">
        <f t="shared" si="6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7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5"/>
        <v>0</v>
      </c>
      <c r="M25" s="61">
        <f t="shared" si="8"/>
        <v>-2</v>
      </c>
      <c r="O25" s="5" t="str">
        <f t="shared" si="6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7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5"/>
        <v>0</v>
      </c>
      <c r="M26" s="157">
        <f t="shared" si="8"/>
        <v>-2</v>
      </c>
      <c r="O26" s="5" t="str">
        <f t="shared" si="6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88" t="str">
        <f t="shared" si="6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5"/>
        <v>0</v>
      </c>
      <c r="M28" s="61">
        <f t="shared" si="8"/>
        <v>-2</v>
      </c>
      <c r="N28" s="24"/>
      <c r="O28" s="5" t="str">
        <f t="shared" si="6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463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7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203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3 max skill</v>
      </c>
      <c r="I37" s="194"/>
      <c r="J37" s="194"/>
      <c r="K37" s="43">
        <f>_xlfn.XLOOKUP(A37,OptionsTable[Name],OptionsTable[TL],,,)</f>
        <v>14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10000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641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-1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>1 hour recharge</v>
      </c>
      <c r="I38" s="194"/>
      <c r="J38" s="194"/>
      <c r="K38" s="43">
        <f>_xlfn.XLOOKUP(A38,OptionsTable[Name],OptionsTable[TL],,,)</f>
        <v>8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200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190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-2</v>
      </c>
      <c r="F39" s="37">
        <f>IF(_xlfn.XLOOKUP(A39,OptionsTable[Name],OptionsTable[xS],,,)=FALSE,1,IF($B$4&gt;0,$E$4,1))</f>
        <v>1</v>
      </c>
      <c r="G39" s="57">
        <v>2</v>
      </c>
      <c r="H39" s="193" t="str">
        <f>IF(_xlfn.XLOOKUP(A39,OptionsTable[Name],OptionsTable[Notes],,,)="","",_xlfn.XLOOKUP(A39,OptionsTable[Name],OptionsTable[Notes],,,))</f>
        <v>2 kg or litres / slot</v>
      </c>
      <c r="I39" s="194"/>
      <c r="J39" s="194"/>
      <c r="K39" s="43">
        <f>_xlfn.XLOOKUP(A39,OptionsTable[Name],OptionsTable[TL],,,)</f>
        <v>6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200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471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-2</v>
      </c>
      <c r="F40" s="37">
        <f>IF(_xlfn.XLOOKUP(A40,OptionsTable[Name],OptionsTable[xS],,,)=FALSE,1,IF($B$4&gt;0,$E$4,1))</f>
        <v>1</v>
      </c>
      <c r="G40" s="57">
        <v>2</v>
      </c>
      <c r="H40" s="193" t="str">
        <f>IF(_xlfn.XLOOKUP(A40,OptionsTable[Name],OptionsTable[Notes],,,)="","",_xlfn.XLOOKUP(A40,OptionsTable[Name],OptionsTable[Notes],,,))</f>
        <v>2 kg or litres / slot</v>
      </c>
      <c r="I40" s="194"/>
      <c r="J40" s="194"/>
      <c r="K40" s="43">
        <f>_xlfn.XLOOKUP(A40,OptionsTable[Name],OptionsTable[TL],,,)</f>
        <v>6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100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 t="s">
        <v>100</v>
      </c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8</v>
      </c>
      <c r="G41" s="57"/>
      <c r="H41" s="193" t="str">
        <f>IF(_xlfn.XLOOKUP(A41,OptionsTable[Name],OptionsTable[Notes],,,)="","",_xlfn.XLOOKUP(A41,OptionsTable[Name],OptionsTable[Notes],,,))</f>
        <v>+ Hostile env</v>
      </c>
      <c r="I41" s="194"/>
      <c r="J41" s="194"/>
      <c r="K41" s="43">
        <f>_xlfn.XLOOKUP(A41,OptionsTable[Name],OptionsTable[TL],,,)</f>
        <v>6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4800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81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9</v>
      </c>
      <c r="I64" s="31">
        <f>IF(H64&gt;17,4,IF(H64&gt;14,3,IF(H64&gt;11,2,IF(H64&gt;8,1,IF(H64&gt;5,0,IF(H64&gt;2,-1,-2))))))</f>
        <v>1</v>
      </c>
      <c r="J64" s="1">
        <f>_xlfn.XLOOKUP(B64,Brains[Programming/Control],Brains[Computer/X],,,)</f>
        <v>3</v>
      </c>
      <c r="K64" s="43">
        <f>_xlfn.XLOOKUP(B64,Brains[Programming/Control],Brains[TL],,,)</f>
        <v>12</v>
      </c>
      <c r="L64">
        <f>_xlfn.XLOOKUP(B64,Brains[Programming/Control],Brains[Computer/X],,,)</f>
        <v>3</v>
      </c>
      <c r="M64" s="12" t="str">
        <f>_xlfn.XLOOKUP(B64,Brains[Programming/Control],Brains[Base capability (built-in no bandwidth, cumulative)],,,)</f>
        <v>Intellect Interface, Expert/2, Security/2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62500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157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11</v>
      </c>
      <c r="L65">
        <f>_xlfn.XLOOKUP(B65,Bandwidth[Minimum Base Brain],Bandwidth[Bandwidth],,,)+L64</f>
        <v>6</v>
      </c>
      <c r="M65" t="s">
        <v>310</v>
      </c>
      <c r="P65" s="136">
        <f>_xlfn.XLOOKUP(B65,Bandwidth[Minimum Base Brain],Bandwidth[Cost],,,)</f>
        <v>10000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6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3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30" t="s">
        <v>131</v>
      </c>
      <c r="B73" s="193"/>
      <c r="C73" s="227"/>
      <c r="D73" s="57">
        <v>3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3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12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Medic 4,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200000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134</v>
      </c>
      <c r="B74" s="193"/>
      <c r="C74" s="227"/>
      <c r="D74" s="57">
        <v>2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3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13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Persuade 3,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50000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117</v>
      </c>
      <c r="B75" s="193"/>
      <c r="C75" s="227"/>
      <c r="D75" s="57"/>
      <c r="E75" s="39"/>
      <c r="G75" s="59" t="str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/>
      </c>
      <c r="I75" s="58" t="str">
        <f>_xlfn.XLOOKUP(A75,StandardBrain[Name],StandardBrain[Characteristic],,,)</f>
        <v xml:space="preserve"> </v>
      </c>
      <c r="K75" s="43">
        <f>_xlfn.XLOOKUP(A75,StandardBrain[Name],StandardBrain[TL],,,)+D75</f>
        <v>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/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0</v>
      </c>
      <c r="R76" s="203"/>
      <c r="S76" s="204"/>
      <c r="T76" s="204"/>
      <c r="U76" s="204"/>
      <c r="V76" s="204"/>
      <c r="W76" s="204"/>
      <c r="X76" s="204"/>
      <c r="Y76" s="204"/>
      <c r="Z76" s="205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  <c r="R77" s="206"/>
      <c r="S77" s="207"/>
      <c r="T77" s="207"/>
      <c r="U77" s="207"/>
      <c r="V77" s="207"/>
      <c r="W77" s="207"/>
      <c r="X77" s="207"/>
      <c r="Y77" s="207"/>
      <c r="Z77" s="208"/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404000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363600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1">
    <sortCondition ref="A36:A41"/>
  </sortState>
  <dataConsolidate/>
  <mergeCells count="114"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4:D64"/>
    <mergeCell ref="B65:D65"/>
    <mergeCell ref="B69:D69"/>
    <mergeCell ref="B70:D70"/>
    <mergeCell ref="B71:D71"/>
    <mergeCell ref="B73:C73"/>
    <mergeCell ref="A59:D59"/>
    <mergeCell ref="H59:I59"/>
    <mergeCell ref="A60:D60"/>
    <mergeCell ref="H60:I60"/>
    <mergeCell ref="A61:D61"/>
    <mergeCell ref="H61:I61"/>
    <mergeCell ref="A55:D55"/>
    <mergeCell ref="H55:J55"/>
    <mergeCell ref="A56:D56"/>
    <mergeCell ref="H56:J56"/>
    <mergeCell ref="A57:D57"/>
    <mergeCell ref="H57:J57"/>
    <mergeCell ref="A52:D52"/>
    <mergeCell ref="H52:J52"/>
    <mergeCell ref="A53:D53"/>
    <mergeCell ref="H53:J53"/>
    <mergeCell ref="A54:D54"/>
    <mergeCell ref="H54:J54"/>
    <mergeCell ref="A49:D49"/>
    <mergeCell ref="H49:J49"/>
    <mergeCell ref="A50:D50"/>
    <mergeCell ref="H50:J50"/>
    <mergeCell ref="A51:D51"/>
    <mergeCell ref="H51:J51"/>
    <mergeCell ref="A38:D38"/>
    <mergeCell ref="H38:J38"/>
    <mergeCell ref="A39:D39"/>
    <mergeCell ref="H39:J39"/>
    <mergeCell ref="A46:D46"/>
    <mergeCell ref="H46:J46"/>
    <mergeCell ref="A47:D47"/>
    <mergeCell ref="H47:J47"/>
    <mergeCell ref="A48:D48"/>
    <mergeCell ref="H48:J48"/>
    <mergeCell ref="A43:D43"/>
    <mergeCell ref="H43:J43"/>
    <mergeCell ref="A44:D44"/>
    <mergeCell ref="H44:J44"/>
    <mergeCell ref="A45:D45"/>
    <mergeCell ref="H45:J45"/>
    <mergeCell ref="H33:J33"/>
    <mergeCell ref="A34:D34"/>
    <mergeCell ref="H34:J34"/>
    <mergeCell ref="H35:J35"/>
    <mergeCell ref="A36:D36"/>
    <mergeCell ref="H36:J36"/>
    <mergeCell ref="R22:Z77"/>
    <mergeCell ref="B29:D29"/>
    <mergeCell ref="H29:J29"/>
    <mergeCell ref="A30:D30"/>
    <mergeCell ref="H30:J30"/>
    <mergeCell ref="A31:D31"/>
    <mergeCell ref="H31:J31"/>
    <mergeCell ref="A32:D32"/>
    <mergeCell ref="H32:J32"/>
    <mergeCell ref="A33:D33"/>
    <mergeCell ref="A40:D40"/>
    <mergeCell ref="H40:J40"/>
    <mergeCell ref="A41:D41"/>
    <mergeCell ref="H41:J41"/>
    <mergeCell ref="A42:D42"/>
    <mergeCell ref="H42:J42"/>
    <mergeCell ref="A37:D37"/>
    <mergeCell ref="H37:J37"/>
    <mergeCell ref="S13:Z13"/>
    <mergeCell ref="R14:R19"/>
    <mergeCell ref="S14:Z19"/>
    <mergeCell ref="G10:H10"/>
    <mergeCell ref="K10:M10"/>
    <mergeCell ref="S9:Z9"/>
    <mergeCell ref="G11:H11"/>
    <mergeCell ref="K11:L11"/>
    <mergeCell ref="S10:Z10"/>
    <mergeCell ref="G8:I8"/>
    <mergeCell ref="K8:M8"/>
    <mergeCell ref="G9:I9"/>
    <mergeCell ref="K9:M9"/>
    <mergeCell ref="G12:O12"/>
    <mergeCell ref="S11:Z11"/>
    <mergeCell ref="S12:Z12"/>
    <mergeCell ref="R7:R8"/>
    <mergeCell ref="S7:Z8"/>
    <mergeCell ref="B2:D2"/>
    <mergeCell ref="F2:H2"/>
    <mergeCell ref="I2:M2"/>
    <mergeCell ref="G3:J3"/>
    <mergeCell ref="G4:I4"/>
    <mergeCell ref="K4:L4"/>
    <mergeCell ref="G5:I5"/>
    <mergeCell ref="H6:N6"/>
    <mergeCell ref="G7:I7"/>
  </mergeCells>
  <conditionalFormatting sqref="B14">
    <cfRule type="expression" dxfId="65" priority="6">
      <formula>ABS($J$14-6) &gt; 6</formula>
    </cfRule>
  </conditionalFormatting>
  <conditionalFormatting sqref="E2">
    <cfRule type="expression" dxfId="64" priority="4">
      <formula>$E$2&lt;0</formula>
    </cfRule>
  </conditionalFormatting>
  <conditionalFormatting sqref="E15:E17">
    <cfRule type="expression" dxfId="63" priority="1">
      <formula>AND($B$4=0,E15&lt;0)</formula>
    </cfRule>
  </conditionalFormatting>
  <conditionalFormatting sqref="K5 K30:K34 K36:K57 K59:K61 K64:K67 K73:K90">
    <cfRule type="expression" dxfId="62" priority="5">
      <formula>K5&gt;$O$2</formula>
    </cfRule>
  </conditionalFormatting>
  <conditionalFormatting sqref="L57">
    <cfRule type="expression" dxfId="61" priority="2">
      <formula>L57&gt;$O$2</formula>
    </cfRule>
  </conditionalFormatting>
  <conditionalFormatting sqref="L67">
    <cfRule type="expression" dxfId="60" priority="3">
      <formula>L67&lt;0</formula>
    </cfRule>
  </conditionalFormatting>
  <dataValidations count="20">
    <dataValidation type="whole" allowBlank="1" showInputMessage="1" showErrorMessage="1" error="Must be a negative number no less than a 50% of the base hits" sqref="B11" xr:uid="{CCC3AC01-FD5D-48EA-A49D-F22C7A49CC49}">
      <formula1>-J4/2</formula1>
      <formula2>0</formula2>
    </dataValidation>
    <dataValidation type="whole" allowBlank="1" showInputMessage="1" showErrorMessage="1" error="Must be whole number. No more than 50% of slots may be used for Resiliency" sqref="B10" xr:uid="{B40536A0-BC36-4DFF-B5C1-D804578266B9}">
      <formula1>0</formula1>
      <formula2>E4/2</formula2>
    </dataValidation>
    <dataValidation type="whole" allowBlank="1" showInputMessage="1" showErrorMessage="1" sqref="E11" xr:uid="{793B4A1D-D5BB-47CE-ADAE-C86048284DDA}">
      <formula1>0</formula1>
      <formula2>J4/2</formula2>
    </dataValidation>
    <dataValidation type="list" allowBlank="1" showInputMessage="1" showErrorMessage="1" error="Maximum = 3" sqref="B9" xr:uid="{45C5AD84-A032-47FC-84FF-3DAFE691F60F}">
      <formula1>"0,1,2,3"</formula1>
    </dataValidation>
    <dataValidation type="list" allowBlank="1" showInputMessage="1" showErrorMessage="1" sqref="B4" xr:uid="{A2405D22-9128-43DC-9C78-A3ACB5494637}">
      <formula1>"0,1,2,3,4,5,6,7,8"</formula1>
    </dataValidation>
    <dataValidation type="list" allowBlank="1" showInputMessage="1" showErrorMessage="1" sqref="O2" xr:uid="{C762CA7A-2DA8-4100-85DD-9EF5B40F5DAB}">
      <formula1>"7,8,9,10,11,12,13,14,15,16,17,18"</formula1>
    </dataValidation>
    <dataValidation type="whole" allowBlank="1" showInputMessage="1" showErrorMessage="1" error="Max Manipulator Size = Chassis Size +2_x000a_Min Manipulator Size = 0_x000a_Whole Numbers Only" sqref="B19:B26" xr:uid="{CEF53743-CB64-4D67-8B2F-CD276D758141}">
      <formula1>0</formula1>
      <formula2>$B$4+2</formula2>
    </dataValidation>
    <dataValidation type="list" allowBlank="1" showInputMessage="1" showErrorMessage="1" sqref="B27:B28 B67 B8" xr:uid="{C8645450-65B4-4BB5-B9FA-2D2E3A8580ED}">
      <formula1>"TRUE,FALSE"</formula1>
    </dataValidation>
    <dataValidation type="list" allowBlank="1" showInputMessage="1" showErrorMessage="1" sqref="B13" xr:uid="{C5A77734-F818-4293-8FE1-FD4C8F0F8E4E}">
      <formula1>"0,1,2,3,4"</formula1>
    </dataValidation>
    <dataValidation type="list" allowBlank="1" showInputMessage="1" showErrorMessage="1" sqref="D73:D90 B66" xr:uid="{6D88F9AB-27CF-47D7-A289-91E65A3BF226}">
      <formula1>"0,1,2,3"</formula1>
    </dataValidation>
    <dataValidation type="list" allowBlank="1" showInputMessage="1" showErrorMessage="1" sqref="B15" xr:uid="{6402351B-863B-4960-9E60-489AB8EBE41C}">
      <formula1>"FALSE,TRUE"</formula1>
    </dataValidation>
    <dataValidation type="list" allowBlank="1" showInputMessage="1" showErrorMessage="1" sqref="B16" xr:uid="{05314BD4-6674-4E2E-AB43-DE97C6D0340D}">
      <formula1>"No,1X,2X,3X"</formula1>
    </dataValidation>
    <dataValidation type="whole" allowBlank="1" showInputMessage="1" showErrorMessage="1" error="Must be whole number between -6 and +12" sqref="B14" xr:uid="{CE173A8A-DF2C-4292-AD96-A02C39B7A0F9}">
      <formula1>-6</formula1>
      <formula2>12</formula2>
    </dataValidation>
    <dataValidation type="whole" allowBlank="1" showInputMessage="1" showErrorMessage="1" sqref="C11:D11" xr:uid="{59A85E10-A68D-43C5-BB28-CBD3476CD987}">
      <formula1>0</formula1>
      <formula2>D4/2</formula2>
    </dataValidation>
    <dataValidation type="whole" allowBlank="1" showInputMessage="1" showErrorMessage="1" sqref="C13:D13" xr:uid="{0CAAC738-FC11-4A29-B36D-392504F815F7}">
      <formula1>0</formula1>
      <formula2>D5/2</formula2>
    </dataValidation>
    <dataValidation type="whole" allowBlank="1" showInputMessage="1" showErrorMessage="1" sqref="C14:D14" xr:uid="{68E8E7B4-C3E4-4BEF-B2A8-000B20DC87A1}">
      <formula1>0</formula1>
      <formula2>D15/2</formula2>
    </dataValidation>
    <dataValidation type="whole" allowBlank="1" showInputMessage="1" showErrorMessage="1" sqref="E13:E14" xr:uid="{9974C9A7-0263-4B00-8BA5-C499E39DCB2C}">
      <formula1>0</formula1>
      <formula2>#REF!/2</formula2>
    </dataValidation>
    <dataValidation type="whole" allowBlank="1" showInputMessage="1" showErrorMessage="1" error="Max STR = Lesser of Size + TL or SIZE X 4" sqref="G19:G28" xr:uid="{3DFD4BFA-F8E8-4060-9A71-5271AD030D03}">
      <formula1>0</formula1>
      <formula2>F19-C19</formula2>
    </dataValidation>
    <dataValidation type="whole" allowBlank="1" showInputMessage="1" showErrorMessage="1" error="Max DEX = TL+3" sqref="K19:K28" xr:uid="{D00253A5-D10F-4283-9C93-7A9884B4C015}">
      <formula1>0</formula1>
      <formula2>J19-D19</formula2>
    </dataValidation>
    <dataValidation type="whole" allowBlank="1" showInputMessage="1" showErrorMessage="1" error="Total Armour cannot exceed Maximum" sqref="B7" xr:uid="{CB8622E8-79A2-4743-AAB9-1B80D3CFCD2E}">
      <formula1>-1</formula1>
      <formula2>L7-MID(A7,18,1)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3A8292-9E87-428A-A1D2-C3ED62AF7370}">
          <x14:formula1>
            <xm:f>Brains!$B$3:$B$19</xm:f>
          </x14:formula1>
          <xm:sqref>B64</xm:sqref>
        </x14:dataValidation>
        <x14:dataValidation type="list" allowBlank="1" showInputMessage="1" showErrorMessage="1" xr:uid="{CCE955E5-5CA2-420F-B192-889951DF246E}">
          <x14:formula1>
            <xm:f>Brains!$K$3:$K$16</xm:f>
          </x14:formula1>
          <xm:sqref>B65</xm:sqref>
        </x14:dataValidation>
        <x14:dataValidation type="list" allowBlank="1" showInputMessage="1" showErrorMessage="1" xr:uid="{BAABDD85-7331-426B-A11F-4BF3C3F94DB5}">
          <x14:formula1>
            <xm:f>Packages!$B$29:$B$68</xm:f>
          </x14:formula1>
          <xm:sqref>A73:A90</xm:sqref>
        </x14:dataValidation>
        <x14:dataValidation type="list" allowBlank="1" showInputMessage="1" showErrorMessage="1" xr:uid="{1D3F531B-AF3E-4331-ACA6-40ABC5611255}">
          <x14:formula1>
            <xm:f>Options!$C$9:$C$251</xm:f>
          </x14:formula1>
          <xm:sqref>A36:A56</xm:sqref>
        </x14:dataValidation>
        <x14:dataValidation type="list" allowBlank="1" showInputMessage="1" showErrorMessage="1" xr:uid="{DA65F9EE-80E0-482E-AF82-3999926E5990}">
          <x14:formula1>
            <xm:f>Options!$C$9:$C$71</xm:f>
          </x14:formula1>
          <xm:sqref>A30:A34</xm:sqref>
        </x14:dataValidation>
        <x14:dataValidation type="list" allowBlank="1" showInputMessage="1" showErrorMessage="1" xr:uid="{B65F5BF6-F72F-4CB0-815E-0D67484ABC6F}">
          <x14:formula1>
            <xm:f>Chassis!$H$3:$H$13</xm:f>
          </x14:formula1>
          <xm:sqref>B17 B5</xm:sqref>
        </x14:dataValidation>
        <x14:dataValidation type="list" allowBlank="1" showInputMessage="1" showErrorMessage="1" xr:uid="{4ABFE64A-9CFD-482C-ADBD-4828C9A66D6A}">
          <x14:formula1>
            <xm:f>Packages!$B$11:$B$19</xm:f>
          </x14:formula1>
          <xm:sqref>B70</xm:sqref>
        </x14:dataValidation>
        <x14:dataValidation type="list" allowBlank="1" showInputMessage="1" showErrorMessage="1" xr:uid="{46E04075-D04C-44E2-A7E8-2998FED058B7}">
          <x14:formula1>
            <xm:f>Packages!$B$3:$B$7</xm:f>
          </x14:formula1>
          <xm:sqref>B69</xm:sqref>
        </x14:dataValidation>
        <x14:dataValidation type="list" allowBlank="1" showInputMessage="1" showErrorMessage="1" xr:uid="{0095FBEF-244A-418E-9B62-68DFC19CE93A}">
          <x14:formula1>
            <xm:f>Packages!$B$23:$B$25</xm:f>
          </x14:formula1>
          <xm:sqref>B71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C4487-CC30-4076-852A-2E0B354030B9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 t="s">
        <v>803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18800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1</v>
      </c>
      <c r="E4" s="114">
        <f>_xlfn.XLOOKUP(B4,Size[Size],Size[Base Slots],,,)</f>
        <v>1</v>
      </c>
      <c r="F4" s="37">
        <f>B4+O2</f>
        <v>13</v>
      </c>
      <c r="G4" s="168" t="s">
        <v>299</v>
      </c>
      <c r="H4" s="168"/>
      <c r="I4" s="169"/>
      <c r="J4" s="108">
        <f>_xlfn.XLOOKUP(B4,Size[Size],Size[Base hits],,,)</f>
        <v>1</v>
      </c>
      <c r="K4" s="170" t="s">
        <v>727</v>
      </c>
      <c r="L4" s="171"/>
      <c r="M4" s="52">
        <f>_xlfn.XLOOKUP(B4,Size[Size],Size[Basic Cost],,,)</f>
        <v>100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(-4), </v>
      </c>
      <c r="R4" s="7" t="s">
        <v>454</v>
      </c>
    </row>
    <row r="5" spans="1:26" ht="12" customHeight="1" thickBot="1" x14ac:dyDescent="0.4">
      <c r="A5" s="89" t="s">
        <v>38</v>
      </c>
      <c r="B5" s="28" t="s">
        <v>26</v>
      </c>
      <c r="C5" s="24"/>
      <c r="D5" s="24"/>
      <c r="E5" s="114">
        <f>IF(B5="none",ROUNDUP(E4*0.25,0),"")</f>
        <v>1</v>
      </c>
      <c r="F5" s="38"/>
      <c r="G5" s="172" t="s">
        <v>298</v>
      </c>
      <c r="H5" s="172"/>
      <c r="I5" s="173"/>
      <c r="J5" s="103" t="str">
        <f>_xlfn.XLOOKUP(B5,Locomotion[Locomotion],Locomotion[Agility],,,)</f>
        <v>-</v>
      </c>
      <c r="K5" s="42">
        <f>_xlfn.XLOOKUP(B5,Locomotion[Locomotion],Locomotion[TL],,,)</f>
        <v>5</v>
      </c>
      <c r="L5" s="26" t="s">
        <v>311</v>
      </c>
      <c r="M5" s="20">
        <f>_xlfn.XLOOKUP(B5,Locomotion[Locomotion],Locomotion[Cost X])</f>
        <v>1</v>
      </c>
      <c r="N5" s="25" t="str">
        <f>IF(_xlfn.XLOOKUP(B5,Locomotion[Locomotion],Locomotion[Traits],,,)="","",_xlfn.XLOOKUP(B5,Locomotion[Locomotion],Locomotion[Traits],,,))</f>
        <v/>
      </c>
      <c r="O5" s="128" t="s">
        <v>726</v>
      </c>
      <c r="P5" s="135">
        <f>_xlfn.XLOOKUP(B4,Size[Size],Size[Basic Cost],,,)*_xlfn.XLOOKUP(B5,Locomotion[Locomotion],Locomotion[Cost X])</f>
        <v>100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Basic Pilot Brain</v>
      </c>
      <c r="S6" s="143">
        <f>M11</f>
        <v>1</v>
      </c>
      <c r="T6" s="143" t="str">
        <f>B5</f>
        <v>None</v>
      </c>
      <c r="U6" s="143" t="str">
        <f>_xlfn.CONCAT(J14," m")</f>
        <v>0 m</v>
      </c>
      <c r="V6" s="144">
        <f>O2</f>
        <v>12</v>
      </c>
      <c r="W6" s="147">
        <f>P91</f>
        <v>20960</v>
      </c>
      <c r="X6" s="151">
        <f>IF(I2="Standard Design",0.1,0)</f>
        <v>0.1</v>
      </c>
      <c r="Y6" s="152">
        <v>2</v>
      </c>
      <c r="Z6" s="147">
        <f>FLOOR(P91*(1-X6),100)</f>
        <v>18800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2</v>
      </c>
      <c r="E7" s="114" cm="1">
        <f t="array" ref="E7">IF(ROUNDUP(_xlfn.XLOOKUP($O$2,Armour[TL],Armour[Slots]*B7*E4,,,),0)&lt;B7/F7,-ROUNDUP(B7/F7,0),-ROUNDUP(_xlfn.XLOOKUP($O$2,Armour[TL],Armour[Slots]*B7*E4,,,),0))</f>
        <v>-1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6</v>
      </c>
      <c r="K7" s="92" t="s">
        <v>313</v>
      </c>
      <c r="L7" s="51">
        <f>_xlfn.XLOOKUP($O$2,Armour[TL],Armour[Max],,,)</f>
        <v>40</v>
      </c>
      <c r="N7" s="5" t="str">
        <f>_xlfn.CONCAT("Armour (+",IF(COUNT(L36:L56)&gt;0,0+B7, _xlfn.XLOOKUP($O$2,Armour[TL],Armour[Base],,,)+B7+IF(B4=0,-2,0)),"), ")</f>
        <v xml:space="preserve">Armour (+6), </v>
      </c>
      <c r="P7" s="136" cm="1">
        <f t="array" ref="P7">IF(B7&gt;-1,_xlfn.XLOOKUP($O$2,Armour[TL],-Armour[Cost/Slot]*E7,,,),-P5*0.1)</f>
        <v>1500</v>
      </c>
      <c r="R7" s="213" t="s">
        <v>90</v>
      </c>
      <c r="S7" s="239" t="str">
        <f>_xlfn.CONCAT(O9,O13,O19:O28,O30:O34,O36:O57,O64,O69:O71,O73:O90)</f>
        <v xml:space="preserve">Athletics (dexterity) 1, Astrogation 0, Electronics (comms) 1, Electronics (sensors) 1, Pilot (spacecraft/small craft) 2, </v>
      </c>
      <c r="T7" s="240"/>
      <c r="U7" s="240"/>
      <c r="V7" s="240"/>
      <c r="W7" s="240"/>
      <c r="X7" s="240"/>
      <c r="Y7" s="240"/>
      <c r="Z7" s="241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324</v>
      </c>
      <c r="K8" s="188" t="s">
        <v>64</v>
      </c>
      <c r="L8" s="189"/>
      <c r="M8" s="190"/>
      <c r="P8" s="136">
        <f>B8*0.5*P5</f>
        <v>0</v>
      </c>
      <c r="R8" s="215"/>
      <c r="S8" s="242"/>
      <c r="T8" s="243"/>
      <c r="U8" s="243"/>
      <c r="V8" s="243"/>
      <c r="W8" s="243"/>
      <c r="X8" s="243"/>
      <c r="Y8" s="243"/>
      <c r="Z8" s="244"/>
    </row>
    <row r="9" spans="1:26" ht="12" customHeight="1" x14ac:dyDescent="0.4">
      <c r="A9" s="92" t="s">
        <v>63</v>
      </c>
      <c r="B9" s="30">
        <v>0</v>
      </c>
      <c r="E9" s="114">
        <f>IF(B4&gt;0,-ROUNDUP(0.1*E4,0)*B9,-B9)</f>
        <v>0</v>
      </c>
      <c r="F9" s="37"/>
      <c r="G9" s="179" t="s">
        <v>302</v>
      </c>
      <c r="H9" s="179"/>
      <c r="I9" s="180"/>
      <c r="J9" s="51">
        <f>J8*(1+B9)</f>
        <v>324</v>
      </c>
      <c r="K9" s="181" t="s">
        <v>64</v>
      </c>
      <c r="L9" s="179"/>
      <c r="M9" s="180"/>
      <c r="O9" s="5" t="str">
        <f>IF(B9&gt;0,_xlfn.CONCAT("Athletics (endurance) ",B9,", "),"")</f>
        <v/>
      </c>
      <c r="P9" s="136">
        <f>-500*E9</f>
        <v>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none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324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(+6), Small (-4), (stopped),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1</v>
      </c>
      <c r="E13" s="39"/>
      <c r="F13" s="37"/>
      <c r="G13" s="92" t="s">
        <v>305</v>
      </c>
      <c r="H13" s="92"/>
      <c r="I13" s="92"/>
      <c r="J13" s="33" t="str">
        <f>IF(J5="-","-",J5+B13)</f>
        <v>-</v>
      </c>
      <c r="L13" s="11"/>
      <c r="O13" s="5" t="str">
        <f>IF(B13=0,"",_xlfn.CONCAT("Athletics (dexterity) ",B13,", "))</f>
        <v xml:space="preserve">Athletics (dexterity) 1, </v>
      </c>
      <c r="P13" s="136">
        <f>IF(B13=0,0,P5*2^(B13-1))</f>
        <v>100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Advanced (INT 8)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0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324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(basic), Visual Spectrum Sensor, Voder Speaker, Wireless Data Link, Drone Interface, External Power, Vacuum Environment Protection, , , , , 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0</v>
      </c>
      <c r="N15" s="5" t="str">
        <f>IF(B5="None","(stopped), ",IF(B15=TRUE,_xlfn.CONCAT("(",_xlfn.XLOOKUP(B5,Locomotion[Locomotion],Locomotion[High Speed],,,),")"),"(idle), "))</f>
        <v xml:space="preserve">(stopped),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0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/>
      <c r="C19" s="60">
        <f t="shared" ref="C19:C26" si="0">IF(B19=0,0,B19*2-1)</f>
        <v>0</v>
      </c>
      <c r="D19" s="95">
        <v>0</v>
      </c>
      <c r="E19" s="100" cm="1">
        <f t="array" ref="E19">ROUNDUP(_xlfn.IFS($B$4-B19=0,0,$B$4-B19=1,$E$4*0.05,$B$4-B19=2,$E$4*0.08,$B$4-B19=3,$E$4*0.09,$B$4-B19&gt;3,$E$4*0.1,$B$4-B19&lt;0,$E$4*0.1*($B$4-B19)),0)</f>
        <v>1</v>
      </c>
      <c r="F19" s="53">
        <f t="shared" ref="F19:F28" si="1">C19*2</f>
        <v>0</v>
      </c>
      <c r="G19" s="16"/>
      <c r="H19" s="60">
        <f t="shared" ref="H19:H28" si="2">C19+G19</f>
        <v>0</v>
      </c>
      <c r="I19" s="61">
        <f t="shared" ref="I19:I28" si="3">IF(H19&gt;17,4,IF(H19&gt;14,3,IF(H19&gt;11,2,IF(H19&gt;8,1,IF(H19&gt;5,0,IF(H19&gt;2,-1,-2))))))</f>
        <v>-2</v>
      </c>
      <c r="J19" s="53">
        <f t="shared" ref="J19:J28" si="4">$O$2+3</f>
        <v>15</v>
      </c>
      <c r="K19" s="16"/>
      <c r="L19" s="156">
        <f>D19+K19</f>
        <v>0</v>
      </c>
      <c r="M19" s="61">
        <f>IF(L19&gt;20,5,IF(L19&gt;17,4,IF(L19&gt;14,3,IF(L19&gt;11,2,IF(L19&gt;8,1,IF(L19&gt;5,0,IF(L19&gt;2,-1,-2)))))))</f>
        <v>-2</v>
      </c>
      <c r="O19" s="12" t="str">
        <f t="shared" ref="O19:O28" si="5">IF(I19&gt;0,_xlfn.CONCAT("Athletics (strength) ",I19,", "),"")</f>
        <v/>
      </c>
      <c r="P19" s="136">
        <f>IF((B19-$B$4)*100&gt;-0.2*$P$5,(B19-$B$4)*100,-0.2*$P$5)+B19*100*(G19)^2+B19*200*(K19)^2</f>
        <v>-20</v>
      </c>
    </row>
    <row r="20" spans="1:26" ht="12" customHeight="1" x14ac:dyDescent="0.35">
      <c r="A20" s="92" t="s">
        <v>51</v>
      </c>
      <c r="B20" s="35"/>
      <c r="C20" s="6">
        <f t="shared" si="0"/>
        <v>0</v>
      </c>
      <c r="D20" s="96">
        <f t="shared" ref="D20:D26" si="6">IF(B20=0,0,ROUNDUP($O$2/2+1,0))</f>
        <v>0</v>
      </c>
      <c r="E20" s="100" cm="1">
        <f t="array" ref="E20">ROUNDUP(_xlfn.IFS($B$4-B20=0,0,$B$4-B20=1,$E$4*0.05,$B$4-B20=2,$E$4*0.08,$B$4-B20=3,$E$4*0.09,$B$4-B20&gt;3,$E$4*0.1,$B$4-B20&lt;0,$E$4*0.1*($B$4-B20)),0)</f>
        <v>1</v>
      </c>
      <c r="F20" s="53">
        <f t="shared" si="1"/>
        <v>0</v>
      </c>
      <c r="G20" s="16"/>
      <c r="H20" s="6">
        <f t="shared" si="2"/>
        <v>0</v>
      </c>
      <c r="I20" s="21">
        <f t="shared" si="3"/>
        <v>-2</v>
      </c>
      <c r="J20" s="53">
        <f t="shared" si="4"/>
        <v>15</v>
      </c>
      <c r="K20" s="16"/>
      <c r="L20" s="6">
        <f t="shared" ref="L20:L28" si="7">D20+K20</f>
        <v>0</v>
      </c>
      <c r="M20" s="61">
        <f t="shared" ref="M20:M28" si="8">IF(L20&gt;20,5,IF(L20&gt;17,4,IF(L20&gt;14,3,IF(L20&gt;11,2,IF(L20&gt;8,1,IF(L20&gt;5,0,IF(L20&gt;2,-1,-2)))))))</f>
        <v>-2</v>
      </c>
      <c r="O20" s="5" t="str">
        <f t="shared" si="5"/>
        <v/>
      </c>
      <c r="P20" s="136">
        <f>IF((B20-$B$4)*100&gt;-0.2*$P$5,(B20-$B$4)*100,-0.2*$P$5)+B20*100*(G20)^2+B20*200*(K20)^2</f>
        <v>-20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15</v>
      </c>
      <c r="K21" s="16"/>
      <c r="L21" s="6">
        <f t="shared" si="7"/>
        <v>0</v>
      </c>
      <c r="M21" s="61">
        <f t="shared" si="8"/>
        <v>-2</v>
      </c>
      <c r="O21" s="5" t="str">
        <f t="shared" si="5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15</v>
      </c>
      <c r="K22" s="16"/>
      <c r="L22" s="6">
        <f t="shared" si="7"/>
        <v>0</v>
      </c>
      <c r="M22" s="61">
        <f t="shared" si="8"/>
        <v>-2</v>
      </c>
      <c r="O22" s="5" t="str">
        <f t="shared" si="5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15</v>
      </c>
      <c r="K23" s="16"/>
      <c r="L23" s="6">
        <f t="shared" si="7"/>
        <v>0</v>
      </c>
      <c r="M23" s="61">
        <f t="shared" si="8"/>
        <v>-2</v>
      </c>
      <c r="O23" s="5" t="str">
        <f t="shared" si="5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15</v>
      </c>
      <c r="K24" s="16"/>
      <c r="L24" s="6">
        <f t="shared" si="7"/>
        <v>0</v>
      </c>
      <c r="M24" s="61">
        <f t="shared" si="8"/>
        <v>-2</v>
      </c>
      <c r="O24" s="5" t="str">
        <f t="shared" si="5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15</v>
      </c>
      <c r="K25" s="16"/>
      <c r="L25" s="6">
        <f t="shared" si="7"/>
        <v>0</v>
      </c>
      <c r="M25" s="61">
        <f t="shared" si="8"/>
        <v>-2</v>
      </c>
      <c r="O25" s="5" t="str">
        <f t="shared" si="5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15</v>
      </c>
      <c r="K26" s="80"/>
      <c r="L26" s="81">
        <f t="shared" si="7"/>
        <v>0</v>
      </c>
      <c r="M26" s="157">
        <f t="shared" si="8"/>
        <v>-2</v>
      </c>
      <c r="O26" s="5" t="str">
        <f t="shared" si="5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[null]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15</v>
      </c>
      <c r="K27" s="85"/>
      <c r="L27" s="86">
        <f t="shared" si="7"/>
        <v>0</v>
      </c>
      <c r="M27" s="61">
        <f>IF(L27&gt;20,5,IF(L27&gt;17,4,IF(L27&gt;14,3,IF(L27&gt;11,2,IF(L27&gt;8,1,IF(L27&gt;5,0,IF(L27&gt;2,-1,-2)))))))</f>
        <v>-2</v>
      </c>
      <c r="N27" s="73"/>
      <c r="O27" s="88" t="str">
        <f t="shared" si="5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[null]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15</v>
      </c>
      <c r="K28" s="19"/>
      <c r="L28" s="20">
        <f t="shared" si="7"/>
        <v>0</v>
      </c>
      <c r="M28" s="61">
        <f t="shared" si="8"/>
        <v>-2</v>
      </c>
      <c r="N28" s="24"/>
      <c r="O28" s="5" t="str">
        <f t="shared" si="5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463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7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231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/>
      </c>
      <c r="I37" s="194"/>
      <c r="J37" s="194"/>
      <c r="K37" s="43">
        <f>_xlfn.XLOOKUP(A37,OptionsTable[Name],OptionsTable[TL],,,)</f>
        <v>9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100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100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0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>+ Hostile env</v>
      </c>
      <c r="I38" s="194"/>
      <c r="J38" s="194"/>
      <c r="K38" s="43">
        <f>_xlfn.XLOOKUP(A38,OptionsTable[Name],OptionsTable[TL],,,)</f>
        <v>6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600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/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1</v>
      </c>
      <c r="G39" s="57"/>
      <c r="H39" s="193" t="str">
        <f>IF(_xlfn.XLOOKUP(A39,OptionsTable[Name],OptionsTable[Notes],,,)="","",_xlfn.XLOOKUP(A39,OptionsTable[Name],OptionsTable[Notes],,,))</f>
        <v/>
      </c>
      <c r="I39" s="194"/>
      <c r="J39" s="194"/>
      <c r="K39" s="43">
        <f>_xlfn.XLOOKUP(A39,OptionsTable[Name],OptionsTable[TL],,,)</f>
        <v>0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/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0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0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80</v>
      </c>
      <c r="C64" s="224"/>
      <c r="D64" s="224"/>
      <c r="E64" s="39">
        <f>IF(L64+K64-O2&gt;B4,-1,0)</f>
        <v>-1</v>
      </c>
      <c r="F64" s="37"/>
      <c r="H64" s="1">
        <f>_xlfn.XLOOKUP(B64,Brains[Programming/Control],Brains[Base INT],,,)</f>
        <v>8</v>
      </c>
      <c r="I64" s="31">
        <f>IF(H64&gt;17,4,IF(H64&gt;14,3,IF(H64&gt;11,2,IF(H64&gt;8,1,IF(H64&gt;5,0,IF(H64&gt;2,-1,-2))))))</f>
        <v>0</v>
      </c>
      <c r="J64" s="1">
        <f>_xlfn.XLOOKUP(B64,Brains[Programming/Control],Brains[Computer/X],,,)</f>
        <v>2</v>
      </c>
      <c r="K64" s="43">
        <f>_xlfn.XLOOKUP(B64,Brains[Programming/Control],Brains[TL],,,)</f>
        <v>12</v>
      </c>
      <c r="L64">
        <f>_xlfn.XLOOKUP(B64,Brains[Programming/Control],Brains[Computer/X],,,)</f>
        <v>2</v>
      </c>
      <c r="M64" s="12" t="str">
        <f>_xlfn.XLOOKUP(B64,Brains[Programming/Control],Brains[Base capability (built-in no bandwidth, cumulative)],,,)</f>
        <v>Intelligent Interface, Expert/1, Security/1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156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10</v>
      </c>
      <c r="L65">
        <f>_xlfn.XLOOKUP(B65,Bandwidth[Minimum Base Brain],Bandwidth[Bandwidth],,,)+L64</f>
        <v>4</v>
      </c>
      <c r="M65" t="s">
        <v>310</v>
      </c>
      <c r="P65" s="136">
        <f>_xlfn.XLOOKUP(B65,Bandwidth[Minimum Base Brain],Bandwidth[Cost],,,)</f>
        <v>5000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8</v>
      </c>
      <c r="I66" s="15">
        <f>IF(H66&gt;17,4,IF(H66&gt;14,3,IF(H66&gt;11,2,IF(H66&gt;8,1,IF(H66&gt;5,0,IF(H66&gt;2,-1,-2))))))</f>
        <v>0</v>
      </c>
      <c r="K66" s="43"/>
      <c r="L66" s="55">
        <f>L65+F66</f>
        <v>4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2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119</v>
      </c>
      <c r="B73" s="153"/>
      <c r="C73" s="154"/>
      <c r="D73" s="57">
        <v>0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1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12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Astrogation 0,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500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47" t="s">
        <v>148</v>
      </c>
      <c r="B74" s="153" t="s">
        <v>801</v>
      </c>
      <c r="C74" s="154"/>
      <c r="D74" s="57">
        <v>1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1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9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Electronics (comms) 1,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1000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47" t="s">
        <v>148</v>
      </c>
      <c r="B75" s="153" t="s">
        <v>799</v>
      </c>
      <c r="C75" s="154"/>
      <c r="D75" s="57">
        <v>1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1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9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Electronics (sensors) 1,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1000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138</v>
      </c>
      <c r="B76" s="193" t="s">
        <v>836</v>
      </c>
      <c r="C76" s="227"/>
      <c r="D76" s="57">
        <v>1</v>
      </c>
      <c r="E76" s="39"/>
      <c r="G76" s="59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>1</v>
      </c>
      <c r="I76" s="58" t="str">
        <f>_xlfn.XLOOKUP(A76,StandardBrain[Name],StandardBrain[Characteristic],,,)</f>
        <v>DEX</v>
      </c>
      <c r="K76" s="43">
        <f>_xlfn.XLOOKUP(A76,StandardBrain[Name],StandardBrain[TL],,,)+D76</f>
        <v>9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 xml:space="preserve">Pilot (spacecraft/small craft) 2, </v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1000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20960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18800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38">
    <sortCondition ref="A36:A38"/>
  </sortState>
  <dataConsolidate/>
  <mergeCells count="111"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  <mergeCell ref="B78:C78"/>
    <mergeCell ref="B79:C79"/>
    <mergeCell ref="B64:D64"/>
    <mergeCell ref="B65:D65"/>
    <mergeCell ref="B69:D69"/>
    <mergeCell ref="B70:D70"/>
    <mergeCell ref="B71:D71"/>
    <mergeCell ref="B77:C77"/>
    <mergeCell ref="B76:C76"/>
    <mergeCell ref="A59:D59"/>
    <mergeCell ref="H59:I59"/>
    <mergeCell ref="A60:D60"/>
    <mergeCell ref="H60:I60"/>
    <mergeCell ref="A61:D61"/>
    <mergeCell ref="H61:I61"/>
    <mergeCell ref="A55:D55"/>
    <mergeCell ref="H55:J55"/>
    <mergeCell ref="A56:D56"/>
    <mergeCell ref="H56:J56"/>
    <mergeCell ref="A57:D57"/>
    <mergeCell ref="H57:J57"/>
    <mergeCell ref="A52:D52"/>
    <mergeCell ref="H52:J52"/>
    <mergeCell ref="A53:D53"/>
    <mergeCell ref="H53:J53"/>
    <mergeCell ref="A54:D54"/>
    <mergeCell ref="H54:J54"/>
    <mergeCell ref="A49:D49"/>
    <mergeCell ref="H49:J49"/>
    <mergeCell ref="A50:D50"/>
    <mergeCell ref="H50:J50"/>
    <mergeCell ref="A51:D51"/>
    <mergeCell ref="H51:J51"/>
    <mergeCell ref="A38:D38"/>
    <mergeCell ref="H38:J38"/>
    <mergeCell ref="A39:D39"/>
    <mergeCell ref="H39:J39"/>
    <mergeCell ref="A46:D46"/>
    <mergeCell ref="H46:J46"/>
    <mergeCell ref="A47:D47"/>
    <mergeCell ref="H47:J47"/>
    <mergeCell ref="A48:D48"/>
    <mergeCell ref="H48:J48"/>
    <mergeCell ref="A43:D43"/>
    <mergeCell ref="H43:J43"/>
    <mergeCell ref="A44:D44"/>
    <mergeCell ref="H44:J44"/>
    <mergeCell ref="A45:D45"/>
    <mergeCell ref="H45:J45"/>
    <mergeCell ref="H33:J33"/>
    <mergeCell ref="A34:D34"/>
    <mergeCell ref="H34:J34"/>
    <mergeCell ref="H35:J35"/>
    <mergeCell ref="A36:D36"/>
    <mergeCell ref="H36:J36"/>
    <mergeCell ref="R21:Z76"/>
    <mergeCell ref="B29:D29"/>
    <mergeCell ref="H29:J29"/>
    <mergeCell ref="A30:D30"/>
    <mergeCell ref="H30:J30"/>
    <mergeCell ref="A31:D31"/>
    <mergeCell ref="H31:J31"/>
    <mergeCell ref="A32:D32"/>
    <mergeCell ref="H32:J32"/>
    <mergeCell ref="A33:D33"/>
    <mergeCell ref="A40:D40"/>
    <mergeCell ref="H40:J40"/>
    <mergeCell ref="A41:D41"/>
    <mergeCell ref="H41:J41"/>
    <mergeCell ref="A42:D42"/>
    <mergeCell ref="H42:J42"/>
    <mergeCell ref="A37:D37"/>
    <mergeCell ref="H37:J37"/>
    <mergeCell ref="G11:H11"/>
    <mergeCell ref="K11:L11"/>
    <mergeCell ref="S12:Z12"/>
    <mergeCell ref="G12:O12"/>
    <mergeCell ref="S13:Z13"/>
    <mergeCell ref="R14:R18"/>
    <mergeCell ref="S14:Z18"/>
    <mergeCell ref="G9:I9"/>
    <mergeCell ref="K9:M9"/>
    <mergeCell ref="S10:Z10"/>
    <mergeCell ref="G10:H10"/>
    <mergeCell ref="K10:M10"/>
    <mergeCell ref="S11:Z11"/>
    <mergeCell ref="G5:I5"/>
    <mergeCell ref="H6:N6"/>
    <mergeCell ref="G7:I7"/>
    <mergeCell ref="G8:I8"/>
    <mergeCell ref="K8:M8"/>
    <mergeCell ref="S9:Z9"/>
    <mergeCell ref="B2:D2"/>
    <mergeCell ref="F2:H2"/>
    <mergeCell ref="I2:M2"/>
    <mergeCell ref="G3:J3"/>
    <mergeCell ref="G4:I4"/>
    <mergeCell ref="K4:L4"/>
    <mergeCell ref="R7:R8"/>
    <mergeCell ref="S7:Z8"/>
  </mergeCells>
  <conditionalFormatting sqref="B14">
    <cfRule type="expression" dxfId="59" priority="6">
      <formula>ABS($J$14-6) &gt; 6</formula>
    </cfRule>
  </conditionalFormatting>
  <conditionalFormatting sqref="E2">
    <cfRule type="expression" dxfId="58" priority="4">
      <formula>$E$2&lt;0</formula>
    </cfRule>
  </conditionalFormatting>
  <conditionalFormatting sqref="E15:E17">
    <cfRule type="expression" dxfId="57" priority="1">
      <formula>AND($B$4=0,E15&lt;0)</formula>
    </cfRule>
  </conditionalFormatting>
  <conditionalFormatting sqref="K5 K30:K34 K36:K57 K59:K61 K64:K67 K73:K90">
    <cfRule type="expression" dxfId="56" priority="5">
      <formula>K5&gt;$O$2</formula>
    </cfRule>
  </conditionalFormatting>
  <conditionalFormatting sqref="L57">
    <cfRule type="expression" dxfId="55" priority="2">
      <formula>L57&gt;$O$2</formula>
    </cfRule>
  </conditionalFormatting>
  <conditionalFormatting sqref="L67">
    <cfRule type="expression" dxfId="54" priority="3">
      <formula>L67&lt;0</formula>
    </cfRule>
  </conditionalFormatting>
  <dataValidations count="20">
    <dataValidation type="whole" allowBlank="1" showInputMessage="1" showErrorMessage="1" error="Total Armour cannot exceed Maximum" sqref="B7" xr:uid="{BE1C9DFA-A132-4567-9CAD-541CCB3F5E1D}">
      <formula1>-1</formula1>
      <formula2>L7-MID(A7,18,1)</formula2>
    </dataValidation>
    <dataValidation type="whole" allowBlank="1" showInputMessage="1" showErrorMessage="1" error="Max DEX = TL+3" sqref="K19:K28" xr:uid="{978C3338-E173-4C6F-AF65-21E964C51695}">
      <formula1>0</formula1>
      <formula2>J19-D19</formula2>
    </dataValidation>
    <dataValidation type="whole" allowBlank="1" showInputMessage="1" showErrorMessage="1" error="Max STR = Lesser of Size + TL or SIZE X 4" sqref="G19:G28" xr:uid="{C9E12ED0-CFBD-466A-AC39-07F74655757B}">
      <formula1>0</formula1>
      <formula2>F19-C19</formula2>
    </dataValidation>
    <dataValidation type="whole" allowBlank="1" showInputMessage="1" showErrorMessage="1" sqref="E13:E14" xr:uid="{81FEBAAF-1B2D-4FEF-A4CA-2033C5A3E9BD}">
      <formula1>0</formula1>
      <formula2>#REF!/2</formula2>
    </dataValidation>
    <dataValidation type="whole" allowBlank="1" showInputMessage="1" showErrorMessage="1" sqref="C14:D14" xr:uid="{397BBE3D-5E6C-49B6-97FF-6D5E27B00840}">
      <formula1>0</formula1>
      <formula2>D15/2</formula2>
    </dataValidation>
    <dataValidation type="whole" allowBlank="1" showInputMessage="1" showErrorMessage="1" sqref="C13:D13" xr:uid="{8869980A-13BE-44C6-9E36-1DADD9EA37E8}">
      <formula1>0</formula1>
      <formula2>D5/2</formula2>
    </dataValidation>
    <dataValidation type="whole" allowBlank="1" showInputMessage="1" showErrorMessage="1" sqref="C11:D11" xr:uid="{19607DBB-E3D9-4E92-ADCB-FABCA97F5E57}">
      <formula1>0</formula1>
      <formula2>D4/2</formula2>
    </dataValidation>
    <dataValidation type="whole" allowBlank="1" showInputMessage="1" showErrorMessage="1" error="Must be whole number between -6 and +12" sqref="B14" xr:uid="{53C6B971-8277-4594-BEBF-DD6F182F5826}">
      <formula1>-6</formula1>
      <formula2>12</formula2>
    </dataValidation>
    <dataValidation type="list" allowBlank="1" showInputMessage="1" showErrorMessage="1" sqref="B16" xr:uid="{9DBAB77F-65BB-45B0-94D8-C9633383767D}">
      <formula1>"No,1X,2X,3X"</formula1>
    </dataValidation>
    <dataValidation type="list" allowBlank="1" showInputMessage="1" showErrorMessage="1" sqref="B15" xr:uid="{A0DCF680-434F-4D8A-ADF2-4037C24E661E}">
      <formula1>"FALSE,TRUE"</formula1>
    </dataValidation>
    <dataValidation type="list" allowBlank="1" showInputMessage="1" showErrorMessage="1" sqref="B66 D73:D90" xr:uid="{9BC146DD-5AFB-4FA0-8148-2B1B0B916025}">
      <formula1>"0,1,2,3"</formula1>
    </dataValidation>
    <dataValidation type="list" allowBlank="1" showInputMessage="1" showErrorMessage="1" sqref="B13" xr:uid="{0978A92B-7C1E-45EB-AD3F-96F331AC713D}">
      <formula1>"0,1,2,3,4"</formula1>
    </dataValidation>
    <dataValidation type="list" allowBlank="1" showInputMessage="1" showErrorMessage="1" sqref="B27:B28 B67 B8" xr:uid="{C0B41688-35AE-4CCD-9349-68DBFD044C8C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9B066A5C-3BCB-4497-8691-4EF672562221}">
      <formula1>0</formula1>
      <formula2>$B$4+2</formula2>
    </dataValidation>
    <dataValidation type="list" allowBlank="1" showInputMessage="1" showErrorMessage="1" sqref="O2" xr:uid="{749063DE-A8E8-4F35-B320-1A77E06C5BEE}">
      <formula1>"7,8,9,10,11,12,13,14,15,16,17,18"</formula1>
    </dataValidation>
    <dataValidation type="list" allowBlank="1" showInputMessage="1" showErrorMessage="1" sqref="B4" xr:uid="{C6F98C59-D023-4127-8B8D-E71F83B11342}">
      <formula1>"0,1,2,3,4,5,6,7,8"</formula1>
    </dataValidation>
    <dataValidation type="list" allowBlank="1" showInputMessage="1" showErrorMessage="1" error="Maximum = 3" sqref="B9" xr:uid="{F90A0390-D5DD-4F3D-B4C9-D9ADBFEF2235}">
      <formula1>"0,1,2,3"</formula1>
    </dataValidation>
    <dataValidation type="whole" allowBlank="1" showInputMessage="1" showErrorMessage="1" sqref="E11" xr:uid="{AC73206E-1AFC-4DAE-A24B-426B8A5FC792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7E435E82-3F2F-400E-85AB-A6FEE3CE9855}">
      <formula1>0</formula1>
      <formula2>E4/2</formula2>
    </dataValidation>
    <dataValidation type="whole" allowBlank="1" showInputMessage="1" showErrorMessage="1" error="Must be a negative number no less than a 50% of the base hits" sqref="B11" xr:uid="{551D5D14-CEC9-496C-933D-7708C43626B0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83B2971-F83E-48B3-BA77-CB2AA78A0EB4}">
          <x14:formula1>
            <xm:f>Packages!$B$23:$B$25</xm:f>
          </x14:formula1>
          <xm:sqref>B71</xm:sqref>
        </x14:dataValidation>
        <x14:dataValidation type="list" allowBlank="1" showInputMessage="1" showErrorMessage="1" xr:uid="{D9306DB7-E70B-4179-9F8C-259DF7066E90}">
          <x14:formula1>
            <xm:f>Packages!$B$3:$B$7</xm:f>
          </x14:formula1>
          <xm:sqref>B69</xm:sqref>
        </x14:dataValidation>
        <x14:dataValidation type="list" allowBlank="1" showInputMessage="1" showErrorMessage="1" xr:uid="{7B0C9E97-D95B-4FDD-96CF-E5C690672CF3}">
          <x14:formula1>
            <xm:f>Packages!$B$11:$B$19</xm:f>
          </x14:formula1>
          <xm:sqref>B70</xm:sqref>
        </x14:dataValidation>
        <x14:dataValidation type="list" allowBlank="1" showInputMessage="1" showErrorMessage="1" xr:uid="{4C340DDC-18AF-4A82-B991-AC6FD929476D}">
          <x14:formula1>
            <xm:f>Chassis!$H$3:$H$13</xm:f>
          </x14:formula1>
          <xm:sqref>B17 B5</xm:sqref>
        </x14:dataValidation>
        <x14:dataValidation type="list" allowBlank="1" showInputMessage="1" showErrorMessage="1" xr:uid="{A05A2DBF-7E06-4BC3-BF22-9C5726FDA7B5}">
          <x14:formula1>
            <xm:f>Options!$C$9:$C$71</xm:f>
          </x14:formula1>
          <xm:sqref>A30:A34</xm:sqref>
        </x14:dataValidation>
        <x14:dataValidation type="list" allowBlank="1" showInputMessage="1" showErrorMessage="1" xr:uid="{B42862CE-E7D6-4EFC-B555-0DB96FE2AC72}">
          <x14:formula1>
            <xm:f>Options!$C$9:$C$251</xm:f>
          </x14:formula1>
          <xm:sqref>A36:A56</xm:sqref>
        </x14:dataValidation>
        <x14:dataValidation type="list" allowBlank="1" showInputMessage="1" showErrorMessage="1" xr:uid="{F96F50E0-90FA-4D1D-979C-69E6723DF8C4}">
          <x14:formula1>
            <xm:f>Packages!$B$29:$B$68</xm:f>
          </x14:formula1>
          <xm:sqref>A73:A90</xm:sqref>
        </x14:dataValidation>
        <x14:dataValidation type="list" allowBlank="1" showInputMessage="1" showErrorMessage="1" xr:uid="{5476436A-2170-414B-B190-684F0235F299}">
          <x14:formula1>
            <xm:f>Brains!$K$3:$K$16</xm:f>
          </x14:formula1>
          <xm:sqref>B65</xm:sqref>
        </x14:dataValidation>
        <x14:dataValidation type="list" allowBlank="1" showInputMessage="1" showErrorMessage="1" xr:uid="{3A6E42B0-E306-4933-B8C3-5655CF71129D}">
          <x14:formula1>
            <xm:f>Brains!$B$3:$B$19</xm:f>
          </x14:formula1>
          <xm:sqref>B64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2D3E4-A19C-4FC7-8117-F49A585D8914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 t="s">
        <v>810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48600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1</v>
      </c>
      <c r="E4" s="114">
        <f>_xlfn.XLOOKUP(B4,Size[Size],Size[Base Slots],,,)</f>
        <v>1</v>
      </c>
      <c r="F4" s="37">
        <f>B4+O2</f>
        <v>13</v>
      </c>
      <c r="G4" s="168" t="s">
        <v>299</v>
      </c>
      <c r="H4" s="168"/>
      <c r="I4" s="169"/>
      <c r="J4" s="108">
        <f>_xlfn.XLOOKUP(B4,Size[Size],Size[Base hits],,,)</f>
        <v>1</v>
      </c>
      <c r="K4" s="170" t="s">
        <v>727</v>
      </c>
      <c r="L4" s="171"/>
      <c r="M4" s="52">
        <f>_xlfn.XLOOKUP(B4,Size[Size],Size[Basic Cost],,,)</f>
        <v>100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(-4), </v>
      </c>
      <c r="R4" s="7" t="s">
        <v>454</v>
      </c>
    </row>
    <row r="5" spans="1:26" ht="12" customHeight="1" thickBot="1" x14ac:dyDescent="0.4">
      <c r="A5" s="89" t="s">
        <v>38</v>
      </c>
      <c r="B5" s="28" t="s">
        <v>26</v>
      </c>
      <c r="C5" s="24"/>
      <c r="D5" s="24"/>
      <c r="E5" s="114">
        <f>IF(B5="none",ROUNDUP(E4*0.25,0),"")</f>
        <v>1</v>
      </c>
      <c r="F5" s="38"/>
      <c r="G5" s="172" t="s">
        <v>298</v>
      </c>
      <c r="H5" s="172"/>
      <c r="I5" s="173"/>
      <c r="J5" s="103" t="str">
        <f>_xlfn.XLOOKUP(B5,Locomotion[Locomotion],Locomotion[Agility],,,)</f>
        <v>-</v>
      </c>
      <c r="K5" s="42">
        <f>_xlfn.XLOOKUP(B5,Locomotion[Locomotion],Locomotion[TL],,,)</f>
        <v>5</v>
      </c>
      <c r="L5" s="26" t="s">
        <v>311</v>
      </c>
      <c r="M5" s="20">
        <f>_xlfn.XLOOKUP(B5,Locomotion[Locomotion],Locomotion[Cost X])</f>
        <v>1</v>
      </c>
      <c r="N5" s="25" t="str">
        <f>IF(_xlfn.XLOOKUP(B5,Locomotion[Locomotion],Locomotion[Traits],,,)="","",_xlfn.XLOOKUP(B5,Locomotion[Locomotion],Locomotion[Traits],,,))</f>
        <v/>
      </c>
      <c r="O5" s="128" t="s">
        <v>726</v>
      </c>
      <c r="P5" s="135">
        <f>_xlfn.XLOOKUP(B4,Size[Size],Size[Basic Cost],,,)*_xlfn.XLOOKUP(B5,Locomotion[Locomotion],Locomotion[Cost X])</f>
        <v>100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Improved Pilot Brain</v>
      </c>
      <c r="S6" s="143">
        <f>M11</f>
        <v>1</v>
      </c>
      <c r="T6" s="143" t="str">
        <f>B5</f>
        <v>None</v>
      </c>
      <c r="U6" s="143" t="str">
        <f>_xlfn.CONCAT(J14," m")</f>
        <v>0 m</v>
      </c>
      <c r="V6" s="144">
        <f>O2</f>
        <v>12</v>
      </c>
      <c r="W6" s="147">
        <f>P91</f>
        <v>54060</v>
      </c>
      <c r="X6" s="151">
        <f>IF(I2="Standard Design",0.1,0)</f>
        <v>0.1</v>
      </c>
      <c r="Y6" s="152">
        <v>2</v>
      </c>
      <c r="Z6" s="147">
        <f>FLOOR(P91*(1-X6),100)</f>
        <v>48600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2</v>
      </c>
      <c r="E7" s="114" cm="1">
        <f t="array" ref="E7">IF(ROUNDUP(_xlfn.XLOOKUP($O$2,Armour[TL],Armour[Slots]*B7*E4,,,),0)&lt;B7/F7,-ROUNDUP(B7/F7,0),-ROUNDUP(_xlfn.XLOOKUP($O$2,Armour[TL],Armour[Slots]*B7*E4,,,),0))</f>
        <v>-1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6</v>
      </c>
      <c r="K7" s="92" t="s">
        <v>313</v>
      </c>
      <c r="L7" s="51">
        <f>_xlfn.XLOOKUP($O$2,Armour[TL],Armour[Max],,,)</f>
        <v>40</v>
      </c>
      <c r="N7" s="5" t="str">
        <f>_xlfn.CONCAT("Armour (+",IF(COUNT(L36:L56)&gt;0,0+B7, _xlfn.XLOOKUP($O$2,Armour[TL],Armour[Base],,,)+B7+IF(B4=0,-2,0)),"), ")</f>
        <v xml:space="preserve">Armour (+6), </v>
      </c>
      <c r="P7" s="136" cm="1">
        <f t="array" ref="P7">IF(B7&gt;-1,_xlfn.XLOOKUP($O$2,Armour[TL],-Armour[Cost/Slot]*E7,,,),-P5*0.1)</f>
        <v>1500</v>
      </c>
      <c r="R7" s="213" t="s">
        <v>90</v>
      </c>
      <c r="S7" s="239" t="str">
        <f>_xlfn.CONCAT(O9,O13,O19:O28,O30:O34,O36:O57,O64,O69:O71,O73:O90)</f>
        <v xml:space="preserve">Athletics (dexterity) 2, Astrogation 1, Electronics (comms) 2, Electronics (sensors) 2, Pilot (spacecraft/small craft) 4, </v>
      </c>
      <c r="T7" s="240"/>
      <c r="U7" s="240"/>
      <c r="V7" s="240"/>
      <c r="W7" s="240"/>
      <c r="X7" s="240"/>
      <c r="Y7" s="240"/>
      <c r="Z7" s="241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324</v>
      </c>
      <c r="K8" s="188" t="s">
        <v>64</v>
      </c>
      <c r="L8" s="189"/>
      <c r="M8" s="190"/>
      <c r="P8" s="136">
        <f>B8*0.5*P5</f>
        <v>0</v>
      </c>
      <c r="R8" s="215"/>
      <c r="S8" s="242"/>
      <c r="T8" s="243"/>
      <c r="U8" s="243"/>
      <c r="V8" s="243"/>
      <c r="W8" s="243"/>
      <c r="X8" s="243"/>
      <c r="Y8" s="243"/>
      <c r="Z8" s="244"/>
    </row>
    <row r="9" spans="1:26" ht="12" customHeight="1" x14ac:dyDescent="0.4">
      <c r="A9" s="92" t="s">
        <v>63</v>
      </c>
      <c r="B9" s="30">
        <v>0</v>
      </c>
      <c r="E9" s="114">
        <f>IF(B4&gt;0,-ROUNDUP(0.1*E4,0)*B9,-B9)</f>
        <v>0</v>
      </c>
      <c r="F9" s="37"/>
      <c r="G9" s="179" t="s">
        <v>302</v>
      </c>
      <c r="H9" s="179"/>
      <c r="I9" s="180"/>
      <c r="J9" s="51">
        <f>J8*(1+B9)</f>
        <v>324</v>
      </c>
      <c r="K9" s="181" t="s">
        <v>64</v>
      </c>
      <c r="L9" s="179"/>
      <c r="M9" s="180"/>
      <c r="O9" s="5" t="str">
        <f>IF(B9&gt;0,_xlfn.CONCAT("Athletics (endurance) ",B9,", "),"")</f>
        <v/>
      </c>
      <c r="P9" s="136">
        <f>-500*E9</f>
        <v>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none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324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(+6), Small (-4), (stopped),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2</v>
      </c>
      <c r="E13" s="39"/>
      <c r="F13" s="37"/>
      <c r="G13" s="92" t="s">
        <v>305</v>
      </c>
      <c r="H13" s="92"/>
      <c r="I13" s="92"/>
      <c r="J13" s="33" t="str">
        <f>IF(J5="-","-",J5+B13)</f>
        <v>-</v>
      </c>
      <c r="L13" s="11"/>
      <c r="O13" s="5" t="str">
        <f>IF(B13=0,"",_xlfn.CONCAT("Athletics (dexterity) ",B13,", "))</f>
        <v xml:space="preserve">Athletics (dexterity) 2, </v>
      </c>
      <c r="P13" s="136">
        <f>IF(B13=0,0,P5*2^(B13-1))</f>
        <v>200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0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324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(basic), Visual Spectrum Sensor, Voder Speaker, Wireless Data Link, Drone Interface, External Power, Vacuum Environment Protection, , , , , 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0</v>
      </c>
      <c r="N15" s="5" t="str">
        <f>IF(B5="None","(stopped), ",IF(B15=TRUE,_xlfn.CONCAT("(",_xlfn.XLOOKUP(B5,Locomotion[Locomotion],Locomotion[High Speed],,,),")"),"(idle), "))</f>
        <v xml:space="preserve">(stopped),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0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/>
      <c r="C19" s="60">
        <f t="shared" ref="C19:C26" si="0">IF(B19=0,0,B19*2-1)</f>
        <v>0</v>
      </c>
      <c r="D19" s="95">
        <v>0</v>
      </c>
      <c r="E19" s="100" cm="1">
        <f t="array" ref="E19">ROUNDUP(_xlfn.IFS($B$4-B19=0,0,$B$4-B19=1,$E$4*0.05,$B$4-B19=2,$E$4*0.08,$B$4-B19=3,$E$4*0.09,$B$4-B19&gt;3,$E$4*0.1,$B$4-B19&lt;0,$E$4*0.1*($B$4-B19)),0)</f>
        <v>1</v>
      </c>
      <c r="F19" s="53">
        <f t="shared" ref="F19:F28" si="1">C19*2</f>
        <v>0</v>
      </c>
      <c r="G19" s="16"/>
      <c r="H19" s="60">
        <f t="shared" ref="H19:H28" si="2">C19+G19</f>
        <v>0</v>
      </c>
      <c r="I19" s="61">
        <f t="shared" ref="I19:I28" si="3">IF(H19&gt;17,4,IF(H19&gt;14,3,IF(H19&gt;11,2,IF(H19&gt;8,1,IF(H19&gt;5,0,IF(H19&gt;2,-1,-2))))))</f>
        <v>-2</v>
      </c>
      <c r="J19" s="53">
        <f t="shared" ref="J19:J28" si="4">$O$2+3</f>
        <v>15</v>
      </c>
      <c r="K19" s="16"/>
      <c r="L19" s="156">
        <f>D19+K19</f>
        <v>0</v>
      </c>
      <c r="M19" s="61">
        <f>IF(L19&gt;20,5,IF(L19&gt;17,4,IF(L19&gt;14,3,IF(L19&gt;11,2,IF(L19&gt;8,1,IF(L19&gt;5,0,IF(L19&gt;2,-1,-2)))))))</f>
        <v>-2</v>
      </c>
      <c r="O19" s="12" t="str">
        <f t="shared" ref="O19:O28" si="5">IF(I19&gt;0,_xlfn.CONCAT("Athletics (strength) ",I19,", "),"")</f>
        <v/>
      </c>
      <c r="P19" s="136">
        <f>IF((B19-$B$4)*100&gt;-0.2*$P$5,(B19-$B$4)*100,-0.2*$P$5)+B19*100*(G19)^2+B19*200*(K19)^2</f>
        <v>-20</v>
      </c>
    </row>
    <row r="20" spans="1:26" ht="12" customHeight="1" x14ac:dyDescent="0.35">
      <c r="A20" s="92" t="s">
        <v>51</v>
      </c>
      <c r="B20" s="35"/>
      <c r="C20" s="6">
        <f t="shared" si="0"/>
        <v>0</v>
      </c>
      <c r="D20" s="96">
        <f t="shared" ref="D20:D26" si="6">IF(B20=0,0,ROUNDUP($O$2/2+1,0))</f>
        <v>0</v>
      </c>
      <c r="E20" s="100" cm="1">
        <f t="array" ref="E20">ROUNDUP(_xlfn.IFS($B$4-B20=0,0,$B$4-B20=1,$E$4*0.05,$B$4-B20=2,$E$4*0.08,$B$4-B20=3,$E$4*0.09,$B$4-B20&gt;3,$E$4*0.1,$B$4-B20&lt;0,$E$4*0.1*($B$4-B20)),0)</f>
        <v>1</v>
      </c>
      <c r="F20" s="53">
        <f t="shared" si="1"/>
        <v>0</v>
      </c>
      <c r="G20" s="16"/>
      <c r="H20" s="6">
        <f t="shared" si="2"/>
        <v>0</v>
      </c>
      <c r="I20" s="21">
        <f t="shared" si="3"/>
        <v>-2</v>
      </c>
      <c r="J20" s="53">
        <f t="shared" si="4"/>
        <v>15</v>
      </c>
      <c r="K20" s="16"/>
      <c r="L20" s="6">
        <f t="shared" ref="L20:L28" si="7">D20+K20</f>
        <v>0</v>
      </c>
      <c r="M20" s="61">
        <f t="shared" ref="M20:M28" si="8">IF(L20&gt;20,5,IF(L20&gt;17,4,IF(L20&gt;14,3,IF(L20&gt;11,2,IF(L20&gt;8,1,IF(L20&gt;5,0,IF(L20&gt;2,-1,-2)))))))</f>
        <v>-2</v>
      </c>
      <c r="O20" s="5" t="str">
        <f t="shared" si="5"/>
        <v/>
      </c>
      <c r="P20" s="136">
        <f>IF((B20-$B$4)*100&gt;-0.2*$P$5,(B20-$B$4)*100,-0.2*$P$5)+B20*100*(G20)^2+B20*200*(K20)^2</f>
        <v>-20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15</v>
      </c>
      <c r="K21" s="16"/>
      <c r="L21" s="6">
        <f t="shared" si="7"/>
        <v>0</v>
      </c>
      <c r="M21" s="61">
        <f t="shared" si="8"/>
        <v>-2</v>
      </c>
      <c r="O21" s="5" t="str">
        <f t="shared" si="5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15</v>
      </c>
      <c r="K22" s="16"/>
      <c r="L22" s="6">
        <f t="shared" si="7"/>
        <v>0</v>
      </c>
      <c r="M22" s="61">
        <f t="shared" si="8"/>
        <v>-2</v>
      </c>
      <c r="O22" s="5" t="str">
        <f t="shared" si="5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15</v>
      </c>
      <c r="K23" s="16"/>
      <c r="L23" s="6">
        <f t="shared" si="7"/>
        <v>0</v>
      </c>
      <c r="M23" s="61">
        <f t="shared" si="8"/>
        <v>-2</v>
      </c>
      <c r="O23" s="5" t="str">
        <f t="shared" si="5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15</v>
      </c>
      <c r="K24" s="16"/>
      <c r="L24" s="6">
        <f t="shared" si="7"/>
        <v>0</v>
      </c>
      <c r="M24" s="61">
        <f t="shared" si="8"/>
        <v>-2</v>
      </c>
      <c r="O24" s="5" t="str">
        <f t="shared" si="5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15</v>
      </c>
      <c r="K25" s="16"/>
      <c r="L25" s="6">
        <f t="shared" si="7"/>
        <v>0</v>
      </c>
      <c r="M25" s="61">
        <f t="shared" si="8"/>
        <v>-2</v>
      </c>
      <c r="O25" s="5" t="str">
        <f t="shared" si="5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15</v>
      </c>
      <c r="K26" s="80"/>
      <c r="L26" s="81">
        <f t="shared" si="7"/>
        <v>0</v>
      </c>
      <c r="M26" s="157">
        <f t="shared" si="8"/>
        <v>-2</v>
      </c>
      <c r="O26" s="5" t="str">
        <f t="shared" si="5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[null]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15</v>
      </c>
      <c r="K27" s="85"/>
      <c r="L27" s="86">
        <f t="shared" si="7"/>
        <v>0</v>
      </c>
      <c r="M27" s="61">
        <f>IF(L27&gt;20,5,IF(L27&gt;17,4,IF(L27&gt;14,3,IF(L27&gt;11,2,IF(L27&gt;8,1,IF(L27&gt;5,0,IF(L27&gt;2,-1,-2)))))))</f>
        <v>-2</v>
      </c>
      <c r="N27" s="73"/>
      <c r="O27" s="88" t="str">
        <f t="shared" si="5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[null]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15</v>
      </c>
      <c r="K28" s="19"/>
      <c r="L28" s="20">
        <f t="shared" si="7"/>
        <v>0</v>
      </c>
      <c r="M28" s="61">
        <f t="shared" si="8"/>
        <v>-2</v>
      </c>
      <c r="N28" s="24"/>
      <c r="O28" s="5" t="str">
        <f t="shared" si="5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463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7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231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/>
      </c>
      <c r="I37" s="194"/>
      <c r="J37" s="194"/>
      <c r="K37" s="43">
        <f>_xlfn.XLOOKUP(A37,OptionsTable[Name],OptionsTable[TL],,,)</f>
        <v>9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100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100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0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>+ Hostile env</v>
      </c>
      <c r="I38" s="194"/>
      <c r="J38" s="194"/>
      <c r="K38" s="43">
        <f>_xlfn.XLOOKUP(A38,OptionsTable[Name],OptionsTable[TL],,,)</f>
        <v>6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600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/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1</v>
      </c>
      <c r="G39" s="57"/>
      <c r="H39" s="193" t="str">
        <f>IF(_xlfn.XLOOKUP(A39,OptionsTable[Name],OptionsTable[Notes],,,)="","",_xlfn.XLOOKUP(A39,OptionsTable[Name],OptionsTable[Notes],,,))</f>
        <v/>
      </c>
      <c r="I39" s="194"/>
      <c r="J39" s="194"/>
      <c r="K39" s="43">
        <f>_xlfn.XLOOKUP(A39,OptionsTable[Name],OptionsTable[TL],,,)</f>
        <v>0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/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0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0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80</v>
      </c>
      <c r="C64" s="224"/>
      <c r="D64" s="224"/>
      <c r="E64" s="39">
        <f>IF(L64+K64-O2&gt;B4,-1,0)</f>
        <v>-1</v>
      </c>
      <c r="F64" s="37"/>
      <c r="H64" s="1">
        <f>_xlfn.XLOOKUP(B64,Brains[Programming/Control],Brains[Base INT],,,)</f>
        <v>8</v>
      </c>
      <c r="I64" s="31">
        <f>IF(H64&gt;17,4,IF(H64&gt;14,3,IF(H64&gt;11,2,IF(H64&gt;8,1,IF(H64&gt;5,0,IF(H64&gt;2,-1,-2))))))</f>
        <v>0</v>
      </c>
      <c r="J64" s="1">
        <f>_xlfn.XLOOKUP(B64,Brains[Programming/Control],Brains[Computer/X],,,)</f>
        <v>2</v>
      </c>
      <c r="K64" s="43">
        <f>_xlfn.XLOOKUP(B64,Brains[Programming/Control],Brains[TL],,,)</f>
        <v>12</v>
      </c>
      <c r="L64">
        <f>_xlfn.XLOOKUP(B64,Brains[Programming/Control],Brains[Computer/X],,,)</f>
        <v>2</v>
      </c>
      <c r="M64" s="12" t="str">
        <f>_xlfn.XLOOKUP(B64,Brains[Programming/Control],Brains[Base capability (built-in no bandwidth, cumulative)],,,)</f>
        <v>Intelligent Interface, Expert/1, Security/1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159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12</v>
      </c>
      <c r="L65">
        <f>_xlfn.XLOOKUP(B65,Bandwidth[Minimum Base Brain],Bandwidth[Bandwidth],,,)+L64</f>
        <v>6</v>
      </c>
      <c r="M65" t="s">
        <v>310</v>
      </c>
      <c r="P65" s="136">
        <f>_xlfn.XLOOKUP(B65,Bandwidth[Minimum Base Brain],Bandwidth[Cost],,,)</f>
        <v>20000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1</v>
      </c>
      <c r="E66" s="39"/>
      <c r="F66" s="37" cm="1">
        <f t="array" ref="F66">_xlfn.IFS(B66=0,0,B66=1,-1,B66=2,-3,B66=3,-6)</f>
        <v>-1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5</v>
      </c>
      <c r="M66" t="s">
        <v>310</v>
      </c>
      <c r="P66" s="136" cm="1">
        <f t="array" ref="P66">_xlfn.IFS(B66=0,0,B66=1,(H64+1)*1000,B66=2,(H64+1)*(H64+2)*1000,B66=3,(H64+1)*(H64+2)*(H64+3)*1000)*IF(H66&gt;11,2,1)</f>
        <v>9000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2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119</v>
      </c>
      <c r="B73" s="153"/>
      <c r="C73" s="154"/>
      <c r="D73" s="57">
        <v>0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1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12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Astrogation 1,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500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47" t="s">
        <v>148</v>
      </c>
      <c r="B74" s="153" t="s">
        <v>801</v>
      </c>
      <c r="C74" s="154"/>
      <c r="D74" s="57">
        <v>1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1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9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Electronics (comms) 2,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1000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47" t="s">
        <v>148</v>
      </c>
      <c r="B75" s="153" t="s">
        <v>799</v>
      </c>
      <c r="C75" s="154"/>
      <c r="D75" s="57">
        <v>1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1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9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Electronics (sensors) 2,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1000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138</v>
      </c>
      <c r="B76" s="193" t="s">
        <v>836</v>
      </c>
      <c r="C76" s="227"/>
      <c r="D76" s="57">
        <v>2</v>
      </c>
      <c r="E76" s="39"/>
      <c r="G76" s="59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>2</v>
      </c>
      <c r="I76" s="58" t="str">
        <f>_xlfn.XLOOKUP(A76,StandardBrain[Name],StandardBrain[Characteristic],,,)</f>
        <v>DEX</v>
      </c>
      <c r="K76" s="43">
        <f>_xlfn.XLOOKUP(A76,StandardBrain[Name],StandardBrain[TL],,,)+D76</f>
        <v>10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 xml:space="preserve">Pilot (spacecraft/small craft) 4, </v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10000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54060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48600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38">
    <sortCondition ref="A36:A38"/>
  </sortState>
  <dataConsolidate/>
  <mergeCells count="111">
    <mergeCell ref="G5:I5"/>
    <mergeCell ref="H6:N6"/>
    <mergeCell ref="G7:I7"/>
    <mergeCell ref="R7:R8"/>
    <mergeCell ref="S7:Z8"/>
    <mergeCell ref="G8:I8"/>
    <mergeCell ref="K8:M8"/>
    <mergeCell ref="B2:D2"/>
    <mergeCell ref="F2:H2"/>
    <mergeCell ref="I2:M2"/>
    <mergeCell ref="G3:J3"/>
    <mergeCell ref="G4:I4"/>
    <mergeCell ref="K4:L4"/>
    <mergeCell ref="G11:H11"/>
    <mergeCell ref="K11:L11"/>
    <mergeCell ref="S11:Z11"/>
    <mergeCell ref="G12:O12"/>
    <mergeCell ref="S12:Z12"/>
    <mergeCell ref="S13:Z13"/>
    <mergeCell ref="G9:I9"/>
    <mergeCell ref="K9:M9"/>
    <mergeCell ref="S9:Z9"/>
    <mergeCell ref="G10:H10"/>
    <mergeCell ref="K10:M10"/>
    <mergeCell ref="S10:Z10"/>
    <mergeCell ref="H32:J32"/>
    <mergeCell ref="A33:D33"/>
    <mergeCell ref="H33:J33"/>
    <mergeCell ref="A34:D34"/>
    <mergeCell ref="H34:J34"/>
    <mergeCell ref="H35:J35"/>
    <mergeCell ref="R14:R18"/>
    <mergeCell ref="S14:Z18"/>
    <mergeCell ref="R21:Z76"/>
    <mergeCell ref="B29:D29"/>
    <mergeCell ref="H29:J29"/>
    <mergeCell ref="A30:D30"/>
    <mergeCell ref="H30:J30"/>
    <mergeCell ref="A31:D31"/>
    <mergeCell ref="H31:J31"/>
    <mergeCell ref="A32:D32"/>
    <mergeCell ref="A39:D39"/>
    <mergeCell ref="H39:J39"/>
    <mergeCell ref="A40:D40"/>
    <mergeCell ref="H40:J40"/>
    <mergeCell ref="A41:D41"/>
    <mergeCell ref="H41:J41"/>
    <mergeCell ref="A36:D36"/>
    <mergeCell ref="H36:J36"/>
    <mergeCell ref="A37:D37"/>
    <mergeCell ref="H37:J37"/>
    <mergeCell ref="A38:D38"/>
    <mergeCell ref="H38:J38"/>
    <mergeCell ref="A45:D45"/>
    <mergeCell ref="H45:J45"/>
    <mergeCell ref="A46:D46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B71:D71"/>
    <mergeCell ref="B78:C78"/>
    <mergeCell ref="B79:C79"/>
    <mergeCell ref="A61:D61"/>
    <mergeCell ref="H61:I61"/>
    <mergeCell ref="B64:D64"/>
    <mergeCell ref="B65:D65"/>
    <mergeCell ref="B69:D69"/>
    <mergeCell ref="B70:D70"/>
    <mergeCell ref="B77:C77"/>
    <mergeCell ref="B76:C76"/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</mergeCells>
  <conditionalFormatting sqref="B14">
    <cfRule type="expression" dxfId="53" priority="6">
      <formula>ABS($J$14-6) &gt; 6</formula>
    </cfRule>
  </conditionalFormatting>
  <conditionalFormatting sqref="E2">
    <cfRule type="expression" dxfId="52" priority="4">
      <formula>$E$2&lt;0</formula>
    </cfRule>
  </conditionalFormatting>
  <conditionalFormatting sqref="E15:E17">
    <cfRule type="expression" dxfId="51" priority="1">
      <formula>AND($B$4=0,E15&lt;0)</formula>
    </cfRule>
  </conditionalFormatting>
  <conditionalFormatting sqref="K5 K30:K34 K36:K57 K59:K61 K64:K67 K73:K90">
    <cfRule type="expression" dxfId="50" priority="5">
      <formula>K5&gt;$O$2</formula>
    </cfRule>
  </conditionalFormatting>
  <conditionalFormatting sqref="L57">
    <cfRule type="expression" dxfId="49" priority="2">
      <formula>L57&gt;$O$2</formula>
    </cfRule>
  </conditionalFormatting>
  <conditionalFormatting sqref="L67">
    <cfRule type="expression" dxfId="48" priority="3">
      <formula>L67&lt;0</formula>
    </cfRule>
  </conditionalFormatting>
  <dataValidations count="20">
    <dataValidation type="whole" allowBlank="1" showInputMessage="1" showErrorMessage="1" error="Must be a negative number no less than a 50% of the base hits" sqref="B11" xr:uid="{BEF4A902-2C01-4406-BFA2-FB7226A9C1FB}">
      <formula1>-J4/2</formula1>
      <formula2>0</formula2>
    </dataValidation>
    <dataValidation type="whole" allowBlank="1" showInputMessage="1" showErrorMessage="1" error="Must be whole number. No more than 50% of slots may be used for Resiliency" sqref="B10" xr:uid="{6CDB4636-BCDA-4F62-A8E9-424B5DF2AA29}">
      <formula1>0</formula1>
      <formula2>E4/2</formula2>
    </dataValidation>
    <dataValidation type="whole" allowBlank="1" showInputMessage="1" showErrorMessage="1" sqref="E11" xr:uid="{CDA8D232-CDBA-4F86-B6D6-5F14E1A0DF0E}">
      <formula1>0</formula1>
      <formula2>J4/2</formula2>
    </dataValidation>
    <dataValidation type="list" allowBlank="1" showInputMessage="1" showErrorMessage="1" error="Maximum = 3" sqref="B9" xr:uid="{9A1A4103-7213-47A4-9D4E-92EF598D92BE}">
      <formula1>"0,1,2,3"</formula1>
    </dataValidation>
    <dataValidation type="list" allowBlank="1" showInputMessage="1" showErrorMessage="1" sqref="B4" xr:uid="{50E95259-A0B9-4C33-BD13-05BBF03496AA}">
      <formula1>"0,1,2,3,4,5,6,7,8"</formula1>
    </dataValidation>
    <dataValidation type="list" allowBlank="1" showInputMessage="1" showErrorMessage="1" sqref="O2" xr:uid="{869B793F-2B03-467A-B1F7-657C7A274620}">
      <formula1>"7,8,9,10,11,12,13,14,15,16,17,18"</formula1>
    </dataValidation>
    <dataValidation type="whole" allowBlank="1" showInputMessage="1" showErrorMessage="1" error="Max Manipulator Size = Chassis Size +2_x000a_Min Manipulator Size = 0_x000a_Whole Numbers Only" sqref="B19:B26" xr:uid="{536E5779-FC6C-4D6B-B3CE-79B9D90991ED}">
      <formula1>0</formula1>
      <formula2>$B$4+2</formula2>
    </dataValidation>
    <dataValidation type="list" allowBlank="1" showInputMessage="1" showErrorMessage="1" sqref="B27:B28 B67 B8" xr:uid="{976992B9-35FB-4FFE-8FF6-B8556F1E9B34}">
      <formula1>"TRUE,FALSE"</formula1>
    </dataValidation>
    <dataValidation type="list" allowBlank="1" showInputMessage="1" showErrorMessage="1" sqref="B13" xr:uid="{96315449-DA0C-42BB-B666-474AAF95D1B0}">
      <formula1>"0,1,2,3,4"</formula1>
    </dataValidation>
    <dataValidation type="list" allowBlank="1" showInputMessage="1" showErrorMessage="1" sqref="B66 D73:D90" xr:uid="{D9548B3D-110E-4EFE-AA9D-A17B9B6EF947}">
      <formula1>"0,1,2,3"</formula1>
    </dataValidation>
    <dataValidation type="list" allowBlank="1" showInputMessage="1" showErrorMessage="1" sqref="B15" xr:uid="{87941C3B-4977-451D-9072-757D41206080}">
      <formula1>"FALSE,TRUE"</formula1>
    </dataValidation>
    <dataValidation type="list" allowBlank="1" showInputMessage="1" showErrorMessage="1" sqref="B16" xr:uid="{6D65A79F-D570-4534-9283-A84AF7C4EDB8}">
      <formula1>"No,1X,2X,3X"</formula1>
    </dataValidation>
    <dataValidation type="whole" allowBlank="1" showInputMessage="1" showErrorMessage="1" error="Must be whole number between -6 and +12" sqref="B14" xr:uid="{82AF4A14-F676-4990-BEBE-1A55DE73C502}">
      <formula1>-6</formula1>
      <formula2>12</formula2>
    </dataValidation>
    <dataValidation type="whole" allowBlank="1" showInputMessage="1" showErrorMessage="1" sqref="C11:D11" xr:uid="{01FED940-66B0-4812-8DF9-3AA77A069EC9}">
      <formula1>0</formula1>
      <formula2>D4/2</formula2>
    </dataValidation>
    <dataValidation type="whole" allowBlank="1" showInputMessage="1" showErrorMessage="1" sqref="C13:D13" xr:uid="{BF4CFC7D-7606-408A-95C5-490EEB67EBD0}">
      <formula1>0</formula1>
      <formula2>D5/2</formula2>
    </dataValidation>
    <dataValidation type="whole" allowBlank="1" showInputMessage="1" showErrorMessage="1" sqref="C14:D14" xr:uid="{C581EB3C-928B-4916-AD6C-676D84122590}">
      <formula1>0</formula1>
      <formula2>D15/2</formula2>
    </dataValidation>
    <dataValidation type="whole" allowBlank="1" showInputMessage="1" showErrorMessage="1" sqref="E13:E14" xr:uid="{E5D6C018-36CD-4C19-95DE-C2EEA4D61202}">
      <formula1>0</formula1>
      <formula2>#REF!/2</formula2>
    </dataValidation>
    <dataValidation type="whole" allowBlank="1" showInputMessage="1" showErrorMessage="1" error="Max STR = Lesser of Size + TL or SIZE X 4" sqref="G19:G28" xr:uid="{4B40377A-BD43-4013-B91A-1F25B4F8057A}">
      <formula1>0</formula1>
      <formula2>F19-C19</formula2>
    </dataValidation>
    <dataValidation type="whole" allowBlank="1" showInputMessage="1" showErrorMessage="1" error="Max DEX = TL+3" sqref="K19:K28" xr:uid="{5D31BA6B-DAC9-4971-878C-57FFF6206CFD}">
      <formula1>0</formula1>
      <formula2>J19-D19</formula2>
    </dataValidation>
    <dataValidation type="whole" allowBlank="1" showInputMessage="1" showErrorMessage="1" error="Total Armour cannot exceed Maximum" sqref="B7" xr:uid="{6DCD3B61-FA20-46C0-B366-594AC78C7726}">
      <formula1>-1</formula1>
      <formula2>L7-MID(A7,18,1)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A6BF659B-3C9D-4D53-8D3F-3890EC09C32D}">
          <x14:formula1>
            <xm:f>Options!$C$9:$C$71</xm:f>
          </x14:formula1>
          <xm:sqref>A30:A34</xm:sqref>
        </x14:dataValidation>
        <x14:dataValidation type="list" allowBlank="1" showInputMessage="1" showErrorMessage="1" xr:uid="{0F50B5B5-6062-42A8-A645-B5CC6C4FC39E}">
          <x14:formula1>
            <xm:f>Chassis!$H$3:$H$13</xm:f>
          </x14:formula1>
          <xm:sqref>B17 B5</xm:sqref>
        </x14:dataValidation>
        <x14:dataValidation type="list" allowBlank="1" showInputMessage="1" showErrorMessage="1" xr:uid="{626E14C9-29F8-4B68-A151-D9263E98B52E}">
          <x14:formula1>
            <xm:f>Packages!$B$11:$B$19</xm:f>
          </x14:formula1>
          <xm:sqref>B70</xm:sqref>
        </x14:dataValidation>
        <x14:dataValidation type="list" allowBlank="1" showInputMessage="1" showErrorMessage="1" xr:uid="{F7373B37-C1FD-42EF-9109-46E1624C38B4}">
          <x14:formula1>
            <xm:f>Packages!$B$3:$B$7</xm:f>
          </x14:formula1>
          <xm:sqref>B69</xm:sqref>
        </x14:dataValidation>
        <x14:dataValidation type="list" allowBlank="1" showInputMessage="1" showErrorMessage="1" xr:uid="{BE45F73B-7254-4535-88FC-C7D6345223E9}">
          <x14:formula1>
            <xm:f>Packages!$B$23:$B$25</xm:f>
          </x14:formula1>
          <xm:sqref>B71</xm:sqref>
        </x14:dataValidation>
        <x14:dataValidation type="list" allowBlank="1" showInputMessage="1" showErrorMessage="1" xr:uid="{CD2EEF05-BE2E-4402-9EBE-F95DAC3458F8}">
          <x14:formula1>
            <xm:f>Options!$C$9:$C$251</xm:f>
          </x14:formula1>
          <xm:sqref>A36:A56</xm:sqref>
        </x14:dataValidation>
        <x14:dataValidation type="list" allowBlank="1" showInputMessage="1" showErrorMessage="1" xr:uid="{9EEF177E-C800-4E85-829B-E0EBA26EC242}">
          <x14:formula1>
            <xm:f>Packages!$B$29:$B$68</xm:f>
          </x14:formula1>
          <xm:sqref>A73:A90</xm:sqref>
        </x14:dataValidation>
        <x14:dataValidation type="list" allowBlank="1" showInputMessage="1" showErrorMessage="1" xr:uid="{C14D0F3B-07DA-462A-A10F-741F993E0D49}">
          <x14:formula1>
            <xm:f>Brains!$K$3:$K$16</xm:f>
          </x14:formula1>
          <xm:sqref>B65</xm:sqref>
        </x14:dataValidation>
        <x14:dataValidation type="list" allowBlank="1" showInputMessage="1" showErrorMessage="1" xr:uid="{5AD515A2-FE68-4125-95C5-B05A8E94466B}">
          <x14:formula1>
            <xm:f>Brains!$B$3:$B$19</xm:f>
          </x14:formula1>
          <xm:sqref>B64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FEF5-A03D-48F8-AEC9-6863E1E932EA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 t="s">
        <v>809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178800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1</v>
      </c>
      <c r="E4" s="114">
        <f>_xlfn.XLOOKUP(B4,Size[Size],Size[Base Slots],,,)</f>
        <v>1</v>
      </c>
      <c r="F4" s="37">
        <f>B4+O2</f>
        <v>16</v>
      </c>
      <c r="G4" s="168" t="s">
        <v>299</v>
      </c>
      <c r="H4" s="168"/>
      <c r="I4" s="169"/>
      <c r="J4" s="108">
        <f>_xlfn.XLOOKUP(B4,Size[Size],Size[Base hits],,,)</f>
        <v>1</v>
      </c>
      <c r="K4" s="170" t="s">
        <v>727</v>
      </c>
      <c r="L4" s="171"/>
      <c r="M4" s="52">
        <f>_xlfn.XLOOKUP(B4,Size[Size],Size[Basic Cost],,,)</f>
        <v>100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(-4), </v>
      </c>
      <c r="R4" s="7" t="s">
        <v>454</v>
      </c>
    </row>
    <row r="5" spans="1:26" ht="12" customHeight="1" thickBot="1" x14ac:dyDescent="0.4">
      <c r="A5" s="89" t="s">
        <v>38</v>
      </c>
      <c r="B5" s="28" t="s">
        <v>26</v>
      </c>
      <c r="C5" s="24"/>
      <c r="D5" s="24"/>
      <c r="E5" s="114">
        <f>IF(B5="none",ROUNDUP(E4*0.25,0),"")</f>
        <v>1</v>
      </c>
      <c r="F5" s="38"/>
      <c r="G5" s="172" t="s">
        <v>298</v>
      </c>
      <c r="H5" s="172"/>
      <c r="I5" s="173"/>
      <c r="J5" s="103" t="str">
        <f>_xlfn.XLOOKUP(B5,Locomotion[Locomotion],Locomotion[Agility],,,)</f>
        <v>-</v>
      </c>
      <c r="K5" s="42">
        <f>_xlfn.XLOOKUP(B5,Locomotion[Locomotion],Locomotion[TL],,,)</f>
        <v>5</v>
      </c>
      <c r="L5" s="26" t="s">
        <v>311</v>
      </c>
      <c r="M5" s="20">
        <f>_xlfn.XLOOKUP(B5,Locomotion[Locomotion],Locomotion[Cost X])</f>
        <v>1</v>
      </c>
      <c r="N5" s="25" t="str">
        <f>IF(_xlfn.XLOOKUP(B5,Locomotion[Locomotion],Locomotion[Traits],,,)="","",_xlfn.XLOOKUP(B5,Locomotion[Locomotion],Locomotion[Traits],,,))</f>
        <v/>
      </c>
      <c r="O5" s="128" t="s">
        <v>726</v>
      </c>
      <c r="P5" s="135">
        <f>_xlfn.XLOOKUP(B4,Size[Size],Size[Basic Cost],,,)*_xlfn.XLOOKUP(B5,Locomotion[Locomotion],Locomotion[Cost X])</f>
        <v>100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Enhanced Pilot Brain</v>
      </c>
      <c r="S6" s="143">
        <f>M11</f>
        <v>1</v>
      </c>
      <c r="T6" s="143" t="str">
        <f>B5</f>
        <v>None</v>
      </c>
      <c r="U6" s="143" t="str">
        <f>_xlfn.CONCAT(J14," m")</f>
        <v>0 m</v>
      </c>
      <c r="V6" s="144">
        <f>O2</f>
        <v>15</v>
      </c>
      <c r="W6" s="147">
        <f>P91</f>
        <v>198760</v>
      </c>
      <c r="X6" s="151">
        <f>IF(I2="Standard Design",0.1,0)</f>
        <v>0.1</v>
      </c>
      <c r="Y6" s="152">
        <v>2</v>
      </c>
      <c r="Z6" s="147">
        <f>FLOOR(P91*(1-X6),100)</f>
        <v>178800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8</v>
      </c>
      <c r="E7" s="114" cm="1">
        <f t="array" ref="E7">IF(ROUNDUP(_xlfn.XLOOKUP($O$2,Armour[TL],Armour[Slots]*B7*E4,,,),0)&lt;B7/F7,-ROUNDUP(B7/F7,0),-ROUNDUP(_xlfn.XLOOKUP($O$2,Armour[TL],Armour[Slots]*B7*E4,,,),0))</f>
        <v>-2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12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(+12), </v>
      </c>
      <c r="P7" s="136" cm="1">
        <f t="array" ref="P7">IF(B7&gt;-1,_xlfn.XLOOKUP($O$2,Armour[TL],-Armour[Cost/Slot]*E7,,,),-P5*0.1)</f>
        <v>5000</v>
      </c>
      <c r="R7" s="213" t="s">
        <v>90</v>
      </c>
      <c r="S7" s="239" t="str">
        <f>_xlfn.CONCAT(O9,O13,O19:O28,O30:O34,O36:O57,O64,O69:O71,O73:O90)</f>
        <v xml:space="preserve">Athletics (dexterity) 3, Astrogation 3, Electronics (comms) 3, Electronics (sensors) 3, Pilot (spacecraft/small craft) 5, </v>
      </c>
      <c r="T7" s="240"/>
      <c r="U7" s="240"/>
      <c r="V7" s="240"/>
      <c r="W7" s="240"/>
      <c r="X7" s="240"/>
      <c r="Y7" s="240"/>
      <c r="Z7" s="241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432</v>
      </c>
      <c r="K8" s="188" t="s">
        <v>64</v>
      </c>
      <c r="L8" s="189"/>
      <c r="M8" s="190"/>
      <c r="P8" s="136">
        <f>B8*0.5*P5</f>
        <v>0</v>
      </c>
      <c r="R8" s="215"/>
      <c r="S8" s="242"/>
      <c r="T8" s="243"/>
      <c r="U8" s="243"/>
      <c r="V8" s="243"/>
      <c r="W8" s="243"/>
      <c r="X8" s="243"/>
      <c r="Y8" s="243"/>
      <c r="Z8" s="244"/>
    </row>
    <row r="9" spans="1:26" ht="12" customHeight="1" x14ac:dyDescent="0.4">
      <c r="A9" s="92" t="s">
        <v>63</v>
      </c>
      <c r="B9" s="30">
        <v>0</v>
      </c>
      <c r="E9" s="114">
        <f>IF(B4&gt;0,-ROUNDUP(0.1*E4,0)*B9,-B9)</f>
        <v>0</v>
      </c>
      <c r="F9" s="37"/>
      <c r="G9" s="179" t="s">
        <v>302</v>
      </c>
      <c r="H9" s="179"/>
      <c r="I9" s="180"/>
      <c r="J9" s="51">
        <f>J8*(1+B9)</f>
        <v>432</v>
      </c>
      <c r="K9" s="181" t="s">
        <v>64</v>
      </c>
      <c r="L9" s="179"/>
      <c r="M9" s="180"/>
      <c r="O9" s="5" t="str">
        <f>IF(B9&gt;0,_xlfn.CONCAT("Athletics (endurance) ",B9,", "),"")</f>
        <v/>
      </c>
      <c r="P9" s="136">
        <f>-500*E9</f>
        <v>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none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432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(+12), Small (-4), (stopped),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3</v>
      </c>
      <c r="E13" s="39"/>
      <c r="F13" s="37"/>
      <c r="G13" s="92" t="s">
        <v>305</v>
      </c>
      <c r="H13" s="92"/>
      <c r="I13" s="92"/>
      <c r="J13" s="33" t="str">
        <f>IF(J5="-","-",J5+B13)</f>
        <v>-</v>
      </c>
      <c r="L13" s="11"/>
      <c r="O13" s="5" t="str">
        <f>IF(B13=0,"",_xlfn.CONCAT("Athletics (dexterity) ",B13,", "))</f>
        <v xml:space="preserve">Athletics (dexterity) 3, </v>
      </c>
      <c r="P13" s="136">
        <f>IF(B13=0,0,P5*2^(B13-1))</f>
        <v>400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Very 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0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432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(basic), Visual Spectrum Sensor, Voder Speaker, Wireless Data Link, Drone Interface, External Power, Vacuum Environment Protection, , , , , 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0</v>
      </c>
      <c r="N15" s="5" t="str">
        <f>IF(B5="None","(stopped), ",IF(B15=TRUE,_xlfn.CONCAT("(",_xlfn.XLOOKUP(B5,Locomotion[Locomotion],Locomotion[High Speed],,,),")"),"(idle), "))</f>
        <v xml:space="preserve">(stopped),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0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/>
      <c r="C19" s="60">
        <f t="shared" ref="C19:C26" si="0">IF(B19=0,0,B19*2-1)</f>
        <v>0</v>
      </c>
      <c r="D19" s="95">
        <v>0</v>
      </c>
      <c r="E19" s="100" cm="1">
        <f t="array" ref="E19">ROUNDUP(_xlfn.IFS($B$4-B19=0,0,$B$4-B19=1,$E$4*0.05,$B$4-B19=2,$E$4*0.08,$B$4-B19=3,$E$4*0.09,$B$4-B19&gt;3,$E$4*0.1,$B$4-B19&lt;0,$E$4*0.1*($B$4-B19)),0)</f>
        <v>1</v>
      </c>
      <c r="F19" s="53">
        <f t="shared" ref="F19:F28" si="1">C19*2</f>
        <v>0</v>
      </c>
      <c r="G19" s="16"/>
      <c r="H19" s="60">
        <f t="shared" ref="H19:H28" si="2">C19+G19</f>
        <v>0</v>
      </c>
      <c r="I19" s="61">
        <f t="shared" ref="I19:I28" si="3">IF(H19&gt;17,4,IF(H19&gt;14,3,IF(H19&gt;11,2,IF(H19&gt;8,1,IF(H19&gt;5,0,IF(H19&gt;2,-1,-2))))))</f>
        <v>-2</v>
      </c>
      <c r="J19" s="53">
        <f t="shared" ref="J19:J28" si="4">$O$2+3</f>
        <v>18</v>
      </c>
      <c r="K19" s="16"/>
      <c r="L19" s="156">
        <f>D19+K19</f>
        <v>0</v>
      </c>
      <c r="M19" s="61">
        <f>IF(L19&gt;20,5,IF(L19&gt;17,4,IF(L19&gt;14,3,IF(L19&gt;11,2,IF(L19&gt;8,1,IF(L19&gt;5,0,IF(L19&gt;2,-1,-2)))))))</f>
        <v>-2</v>
      </c>
      <c r="O19" s="12" t="str">
        <f t="shared" ref="O19:O28" si="5">IF(I19&gt;0,_xlfn.CONCAT("Athletics (strength) ",I19,", "),"")</f>
        <v/>
      </c>
      <c r="P19" s="136">
        <f>IF((B19-$B$4)*100&gt;-0.2*$P$5,(B19-$B$4)*100,-0.2*$P$5)+B19*100*(G19)^2+B19*200*(K19)^2</f>
        <v>-20</v>
      </c>
    </row>
    <row r="20" spans="1:26" ht="12" customHeight="1" x14ac:dyDescent="0.35">
      <c r="A20" s="92" t="s">
        <v>51</v>
      </c>
      <c r="B20" s="35"/>
      <c r="C20" s="6">
        <f t="shared" si="0"/>
        <v>0</v>
      </c>
      <c r="D20" s="96">
        <f t="shared" ref="D20:D26" si="6">IF(B20=0,0,ROUNDUP($O$2/2+1,0))</f>
        <v>0</v>
      </c>
      <c r="E20" s="100" cm="1">
        <f t="array" ref="E20">ROUNDUP(_xlfn.IFS($B$4-B20=0,0,$B$4-B20=1,$E$4*0.05,$B$4-B20=2,$E$4*0.08,$B$4-B20=3,$E$4*0.09,$B$4-B20&gt;3,$E$4*0.1,$B$4-B20&lt;0,$E$4*0.1*($B$4-B20)),0)</f>
        <v>1</v>
      </c>
      <c r="F20" s="53">
        <f t="shared" si="1"/>
        <v>0</v>
      </c>
      <c r="G20" s="16"/>
      <c r="H20" s="6">
        <f t="shared" si="2"/>
        <v>0</v>
      </c>
      <c r="I20" s="21">
        <f t="shared" si="3"/>
        <v>-2</v>
      </c>
      <c r="J20" s="53">
        <f t="shared" si="4"/>
        <v>18</v>
      </c>
      <c r="K20" s="16"/>
      <c r="L20" s="6">
        <f t="shared" ref="L20:L28" si="7">D20+K20</f>
        <v>0</v>
      </c>
      <c r="M20" s="61">
        <f t="shared" ref="M20:M28" si="8">IF(L20&gt;20,5,IF(L20&gt;17,4,IF(L20&gt;14,3,IF(L20&gt;11,2,IF(L20&gt;8,1,IF(L20&gt;5,0,IF(L20&gt;2,-1,-2)))))))</f>
        <v>-2</v>
      </c>
      <c r="O20" s="5" t="str">
        <f t="shared" si="5"/>
        <v/>
      </c>
      <c r="P20" s="136">
        <f>IF((B20-$B$4)*100&gt;-0.2*$P$5,(B20-$B$4)*100,-0.2*$P$5)+B20*100*(G20)^2+B20*200*(K20)^2</f>
        <v>-20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7"/>
        <v>0</v>
      </c>
      <c r="M21" s="61">
        <f t="shared" si="8"/>
        <v>-2</v>
      </c>
      <c r="O21" s="5" t="str">
        <f t="shared" si="5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7"/>
        <v>0</v>
      </c>
      <c r="M22" s="61">
        <f t="shared" si="8"/>
        <v>-2</v>
      </c>
      <c r="O22" s="5" t="str">
        <f t="shared" si="5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7"/>
        <v>0</v>
      </c>
      <c r="M23" s="61">
        <f t="shared" si="8"/>
        <v>-2</v>
      </c>
      <c r="O23" s="5" t="str">
        <f t="shared" si="5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7"/>
        <v>0</v>
      </c>
      <c r="M24" s="61">
        <f t="shared" si="8"/>
        <v>-2</v>
      </c>
      <c r="O24" s="5" t="str">
        <f t="shared" si="5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7"/>
        <v>0</v>
      </c>
      <c r="M25" s="61">
        <f t="shared" si="8"/>
        <v>-2</v>
      </c>
      <c r="O25" s="5" t="str">
        <f t="shared" si="5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7"/>
        <v>0</v>
      </c>
      <c r="M26" s="157">
        <f t="shared" si="8"/>
        <v>-2</v>
      </c>
      <c r="O26" s="5" t="str">
        <f t="shared" si="5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[null]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7"/>
        <v>0</v>
      </c>
      <c r="M27" s="61">
        <f>IF(L27&gt;20,5,IF(L27&gt;17,4,IF(L27&gt;14,3,IF(L27&gt;11,2,IF(L27&gt;8,1,IF(L27&gt;5,0,IF(L27&gt;2,-1,-2)))))))</f>
        <v>-2</v>
      </c>
      <c r="N27" s="73"/>
      <c r="O27" s="88" t="str">
        <f t="shared" si="5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[null]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7"/>
        <v>0</v>
      </c>
      <c r="M28" s="61">
        <f t="shared" si="8"/>
        <v>-2</v>
      </c>
      <c r="N28" s="24"/>
      <c r="O28" s="5" t="str">
        <f t="shared" si="5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463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7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231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/>
      </c>
      <c r="I37" s="194"/>
      <c r="J37" s="194"/>
      <c r="K37" s="43">
        <f>_xlfn.XLOOKUP(A37,OptionsTable[Name],OptionsTable[TL],,,)</f>
        <v>9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100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100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0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>+ Hostile env</v>
      </c>
      <c r="I38" s="194"/>
      <c r="J38" s="194"/>
      <c r="K38" s="43">
        <f>_xlfn.XLOOKUP(A38,OptionsTable[Name],OptionsTable[TL],,,)</f>
        <v>6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600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/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1</v>
      </c>
      <c r="G39" s="57"/>
      <c r="H39" s="193" t="str">
        <f>IF(_xlfn.XLOOKUP(A39,OptionsTable[Name],OptionsTable[Notes],,,)="","",_xlfn.XLOOKUP(A39,OptionsTable[Name],OptionsTable[Notes],,,))</f>
        <v/>
      </c>
      <c r="I39" s="194"/>
      <c r="J39" s="194"/>
      <c r="K39" s="43">
        <f>_xlfn.XLOOKUP(A39,OptionsTable[Name],OptionsTable[TL],,,)</f>
        <v>0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/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0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0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81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9</v>
      </c>
      <c r="I64" s="31">
        <f>IF(H64&gt;17,4,IF(H64&gt;14,3,IF(H64&gt;11,2,IF(H64&gt;8,1,IF(H64&gt;5,0,IF(H64&gt;2,-1,-2))))))</f>
        <v>1</v>
      </c>
      <c r="J64" s="1">
        <f>_xlfn.XLOOKUP(B64,Brains[Programming/Control],Brains[Computer/X],,,)</f>
        <v>3</v>
      </c>
      <c r="K64" s="43">
        <f>_xlfn.XLOOKUP(B64,Brains[Programming/Control],Brains[TL],,,)</f>
        <v>12</v>
      </c>
      <c r="L64">
        <f>_xlfn.XLOOKUP(B64,Brains[Programming/Control],Brains[Computer/X],,,)</f>
        <v>3</v>
      </c>
      <c r="M64" s="12" t="str">
        <f>_xlfn.XLOOKUP(B64,Brains[Programming/Control],Brains[Base capability (built-in no bandwidth, cumulative)],,,)</f>
        <v>Intellect Interface, Expert/2, Security/2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62500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160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12</v>
      </c>
      <c r="L65">
        <f>_xlfn.XLOOKUP(B65,Bandwidth[Minimum Base Brain],Bandwidth[Bandwidth],,,)+L64</f>
        <v>9</v>
      </c>
      <c r="M65" t="s">
        <v>310</v>
      </c>
      <c r="P65" s="136">
        <f>_xlfn.XLOOKUP(B65,Bandwidth[Minimum Base Brain],Bandwidth[Cost],,,)</f>
        <v>50000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9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3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119</v>
      </c>
      <c r="B73" s="153"/>
      <c r="C73" s="154"/>
      <c r="D73" s="57">
        <v>2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3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14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Astrogation 3,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50000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47" t="s">
        <v>148</v>
      </c>
      <c r="B74" s="153" t="s">
        <v>801</v>
      </c>
      <c r="C74" s="154"/>
      <c r="D74" s="57">
        <v>2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2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10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Electronics (comms) 3,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10000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47" t="s">
        <v>148</v>
      </c>
      <c r="B75" s="153" t="s">
        <v>799</v>
      </c>
      <c r="C75" s="154"/>
      <c r="D75" s="57">
        <v>2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2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Electronics (sensors) 3,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10000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138</v>
      </c>
      <c r="B76" s="193" t="s">
        <v>836</v>
      </c>
      <c r="C76" s="227"/>
      <c r="D76" s="57">
        <v>2</v>
      </c>
      <c r="E76" s="39"/>
      <c r="G76" s="59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>2</v>
      </c>
      <c r="I76" s="58" t="str">
        <f>_xlfn.XLOOKUP(A76,StandardBrain[Name],StandardBrain[Characteristic],,,)</f>
        <v>DEX</v>
      </c>
      <c r="K76" s="43">
        <f>_xlfn.XLOOKUP(A76,StandardBrain[Name],StandardBrain[TL],,,)+D76</f>
        <v>10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 xml:space="preserve">Pilot (spacecraft/small craft) 5, </v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10000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198760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178800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38">
    <sortCondition ref="A36:A38"/>
  </sortState>
  <dataConsolidate/>
  <mergeCells count="111">
    <mergeCell ref="G5:I5"/>
    <mergeCell ref="H6:N6"/>
    <mergeCell ref="G7:I7"/>
    <mergeCell ref="R7:R8"/>
    <mergeCell ref="S7:Z8"/>
    <mergeCell ref="G8:I8"/>
    <mergeCell ref="K8:M8"/>
    <mergeCell ref="B2:D2"/>
    <mergeCell ref="F2:H2"/>
    <mergeCell ref="I2:M2"/>
    <mergeCell ref="G3:J3"/>
    <mergeCell ref="G4:I4"/>
    <mergeCell ref="K4:L4"/>
    <mergeCell ref="G11:H11"/>
    <mergeCell ref="K11:L11"/>
    <mergeCell ref="S11:Z11"/>
    <mergeCell ref="G12:O12"/>
    <mergeCell ref="S12:Z12"/>
    <mergeCell ref="S13:Z13"/>
    <mergeCell ref="G9:I9"/>
    <mergeCell ref="K9:M9"/>
    <mergeCell ref="S9:Z9"/>
    <mergeCell ref="G10:H10"/>
    <mergeCell ref="K10:M10"/>
    <mergeCell ref="S10:Z10"/>
    <mergeCell ref="H32:J32"/>
    <mergeCell ref="A33:D33"/>
    <mergeCell ref="H33:J33"/>
    <mergeCell ref="A34:D34"/>
    <mergeCell ref="H34:J34"/>
    <mergeCell ref="H35:J35"/>
    <mergeCell ref="R14:R18"/>
    <mergeCell ref="S14:Z18"/>
    <mergeCell ref="R21:Z76"/>
    <mergeCell ref="B29:D29"/>
    <mergeCell ref="H29:J29"/>
    <mergeCell ref="A30:D30"/>
    <mergeCell ref="H30:J30"/>
    <mergeCell ref="A31:D31"/>
    <mergeCell ref="H31:J31"/>
    <mergeCell ref="A32:D32"/>
    <mergeCell ref="A39:D39"/>
    <mergeCell ref="H39:J39"/>
    <mergeCell ref="A40:D40"/>
    <mergeCell ref="H40:J40"/>
    <mergeCell ref="A41:D41"/>
    <mergeCell ref="H41:J41"/>
    <mergeCell ref="A36:D36"/>
    <mergeCell ref="H36:J36"/>
    <mergeCell ref="A37:D37"/>
    <mergeCell ref="H37:J37"/>
    <mergeCell ref="A38:D38"/>
    <mergeCell ref="H38:J38"/>
    <mergeCell ref="A45:D45"/>
    <mergeCell ref="H45:J45"/>
    <mergeCell ref="A46:D46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B71:D71"/>
    <mergeCell ref="B78:C78"/>
    <mergeCell ref="B79:C79"/>
    <mergeCell ref="A61:D61"/>
    <mergeCell ref="H61:I61"/>
    <mergeCell ref="B64:D64"/>
    <mergeCell ref="B65:D65"/>
    <mergeCell ref="B69:D69"/>
    <mergeCell ref="B70:D70"/>
    <mergeCell ref="B77:C77"/>
    <mergeCell ref="B76:C76"/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</mergeCells>
  <conditionalFormatting sqref="B14">
    <cfRule type="expression" dxfId="47" priority="6">
      <formula>ABS($J$14-6) &gt; 6</formula>
    </cfRule>
  </conditionalFormatting>
  <conditionalFormatting sqref="E2">
    <cfRule type="expression" dxfId="46" priority="4">
      <formula>$E$2&lt;0</formula>
    </cfRule>
  </conditionalFormatting>
  <conditionalFormatting sqref="E15:E17">
    <cfRule type="expression" dxfId="45" priority="1">
      <formula>AND($B$4=0,E15&lt;0)</formula>
    </cfRule>
  </conditionalFormatting>
  <conditionalFormatting sqref="K5 K30:K34 K36:K57 K59:K61 K64:K67 K73:K90">
    <cfRule type="expression" dxfId="44" priority="5">
      <formula>K5&gt;$O$2</formula>
    </cfRule>
  </conditionalFormatting>
  <conditionalFormatting sqref="L57">
    <cfRule type="expression" dxfId="43" priority="2">
      <formula>L57&gt;$O$2</formula>
    </cfRule>
  </conditionalFormatting>
  <conditionalFormatting sqref="L67">
    <cfRule type="expression" dxfId="42" priority="3">
      <formula>L67&lt;0</formula>
    </cfRule>
  </conditionalFormatting>
  <dataValidations count="20">
    <dataValidation type="whole" allowBlank="1" showInputMessage="1" showErrorMessage="1" error="Total Armour cannot exceed Maximum" sqref="B7" xr:uid="{5B7D9654-0F9E-4C3B-ABA6-ED79ADBDCC73}">
      <formula1>-1</formula1>
      <formula2>L7-MID(A7,18,1)</formula2>
    </dataValidation>
    <dataValidation type="whole" allowBlank="1" showInputMessage="1" showErrorMessage="1" error="Max DEX = TL+3" sqref="K19:K28" xr:uid="{84FB1FA7-11E4-4EC2-8724-1E470BF0A542}">
      <formula1>0</formula1>
      <formula2>J19-D19</formula2>
    </dataValidation>
    <dataValidation type="whole" allowBlank="1" showInputMessage="1" showErrorMessage="1" error="Max STR = Lesser of Size + TL or SIZE X 4" sqref="G19:G28" xr:uid="{92144ADD-4725-4CB1-A3DF-9DCBED1E796A}">
      <formula1>0</formula1>
      <formula2>F19-C19</formula2>
    </dataValidation>
    <dataValidation type="whole" allowBlank="1" showInputMessage="1" showErrorMessage="1" sqref="E13:E14" xr:uid="{A1B467E2-355C-4E0C-9755-943326EFEEF5}">
      <formula1>0</formula1>
      <formula2>#REF!/2</formula2>
    </dataValidation>
    <dataValidation type="whole" allowBlank="1" showInputMessage="1" showErrorMessage="1" sqref="C14:D14" xr:uid="{6BC5D3E9-819C-4A7B-A894-0C612200CC97}">
      <formula1>0</formula1>
      <formula2>D15/2</formula2>
    </dataValidation>
    <dataValidation type="whole" allowBlank="1" showInputMessage="1" showErrorMessage="1" sqref="C13:D13" xr:uid="{621456CB-D30A-4FF7-82B2-08FF9EA56BF7}">
      <formula1>0</formula1>
      <formula2>D5/2</formula2>
    </dataValidation>
    <dataValidation type="whole" allowBlank="1" showInputMessage="1" showErrorMessage="1" sqref="C11:D11" xr:uid="{FEEBBEFE-E170-43D2-8B72-BE52EF92B439}">
      <formula1>0</formula1>
      <formula2>D4/2</formula2>
    </dataValidation>
    <dataValidation type="whole" allowBlank="1" showInputMessage="1" showErrorMessage="1" error="Must be whole number between -6 and +12" sqref="B14" xr:uid="{E5B169E0-2852-4AEA-8C63-D6A501606D95}">
      <formula1>-6</formula1>
      <formula2>12</formula2>
    </dataValidation>
    <dataValidation type="list" allowBlank="1" showInputMessage="1" showErrorMessage="1" sqref="B16" xr:uid="{9DE6585A-A6E3-4B22-BA34-1FF6D9BCCBEA}">
      <formula1>"No,1X,2X,3X"</formula1>
    </dataValidation>
    <dataValidation type="list" allowBlank="1" showInputMessage="1" showErrorMessage="1" sqref="B15" xr:uid="{FF050F07-0A41-48A1-AFEF-2B37ECC4FD46}">
      <formula1>"FALSE,TRUE"</formula1>
    </dataValidation>
    <dataValidation type="list" allowBlank="1" showInputMessage="1" showErrorMessage="1" sqref="B66 D73:D90" xr:uid="{751B7968-372B-4753-A460-D200D02C6F61}">
      <formula1>"0,1,2,3"</formula1>
    </dataValidation>
    <dataValidation type="list" allowBlank="1" showInputMessage="1" showErrorMessage="1" sqref="B13" xr:uid="{EAB41DDA-E316-47BE-97D1-6CF768199954}">
      <formula1>"0,1,2,3,4"</formula1>
    </dataValidation>
    <dataValidation type="list" allowBlank="1" showInputMessage="1" showErrorMessage="1" sqref="B27:B28 B67 B8" xr:uid="{E99E57D1-39D5-4BA3-9B32-6582BC763473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1B81C233-A41F-404E-99D7-62F26C043823}">
      <formula1>0</formula1>
      <formula2>$B$4+2</formula2>
    </dataValidation>
    <dataValidation type="list" allowBlank="1" showInputMessage="1" showErrorMessage="1" sqref="O2" xr:uid="{B64C08BD-571F-4E30-BB21-0FAD4909264F}">
      <formula1>"7,8,9,10,11,12,13,14,15,16,17,18"</formula1>
    </dataValidation>
    <dataValidation type="list" allowBlank="1" showInputMessage="1" showErrorMessage="1" sqref="B4" xr:uid="{0EE993E7-E452-496F-9F18-B32858E3F5C9}">
      <formula1>"0,1,2,3,4,5,6,7,8"</formula1>
    </dataValidation>
    <dataValidation type="list" allowBlank="1" showInputMessage="1" showErrorMessage="1" error="Maximum = 3" sqref="B9" xr:uid="{7025A0E4-974C-4C2D-A118-5F9C31BF1ED9}">
      <formula1>"0,1,2,3"</formula1>
    </dataValidation>
    <dataValidation type="whole" allowBlank="1" showInputMessage="1" showErrorMessage="1" sqref="E11" xr:uid="{5E50499D-34C6-4B86-A8F2-81BBCC4286B6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FDEC184A-1D9B-43B2-A244-FABF6D0E71A5}">
      <formula1>0</formula1>
      <formula2>E4/2</formula2>
    </dataValidation>
    <dataValidation type="whole" allowBlank="1" showInputMessage="1" showErrorMessage="1" error="Must be a negative number no less than a 50% of the base hits" sqref="B11" xr:uid="{DC008768-D41F-470E-9FE9-50B508A85403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5884CC7-CADE-4AFF-B74F-D823A64D96A8}">
          <x14:formula1>
            <xm:f>Packages!$B$23:$B$25</xm:f>
          </x14:formula1>
          <xm:sqref>B71</xm:sqref>
        </x14:dataValidation>
        <x14:dataValidation type="list" allowBlank="1" showInputMessage="1" showErrorMessage="1" xr:uid="{AB99D179-BF9B-4601-B5FD-828853A9D987}">
          <x14:formula1>
            <xm:f>Packages!$B$3:$B$7</xm:f>
          </x14:formula1>
          <xm:sqref>B69</xm:sqref>
        </x14:dataValidation>
        <x14:dataValidation type="list" allowBlank="1" showInputMessage="1" showErrorMessage="1" xr:uid="{B4BB980F-972C-41BB-873C-5E87EF1F4146}">
          <x14:formula1>
            <xm:f>Packages!$B$11:$B$19</xm:f>
          </x14:formula1>
          <xm:sqref>B70</xm:sqref>
        </x14:dataValidation>
        <x14:dataValidation type="list" allowBlank="1" showInputMessage="1" showErrorMessage="1" xr:uid="{6D5FE1E3-2AC9-4BF6-8723-409E1B1B72A8}">
          <x14:formula1>
            <xm:f>Chassis!$H$3:$H$13</xm:f>
          </x14:formula1>
          <xm:sqref>B17 B5</xm:sqref>
        </x14:dataValidation>
        <x14:dataValidation type="list" allowBlank="1" showInputMessage="1" showErrorMessage="1" xr:uid="{DBA1E3AB-17FF-4454-8990-77E708B7DF36}">
          <x14:formula1>
            <xm:f>Options!$C$9:$C$71</xm:f>
          </x14:formula1>
          <xm:sqref>A30:A34</xm:sqref>
        </x14:dataValidation>
        <x14:dataValidation type="list" allowBlank="1" showInputMessage="1" showErrorMessage="1" xr:uid="{0E10BDEC-AAB8-4878-98B3-31173FE12A43}">
          <x14:formula1>
            <xm:f>Options!$C$9:$C$251</xm:f>
          </x14:formula1>
          <xm:sqref>A36:A56</xm:sqref>
        </x14:dataValidation>
        <x14:dataValidation type="list" allowBlank="1" showInputMessage="1" showErrorMessage="1" xr:uid="{BCD25E7B-B2C3-48FF-86E1-1752BC75DC19}">
          <x14:formula1>
            <xm:f>Packages!$B$29:$B$68</xm:f>
          </x14:formula1>
          <xm:sqref>A73:A90</xm:sqref>
        </x14:dataValidation>
        <x14:dataValidation type="list" allowBlank="1" showInputMessage="1" showErrorMessage="1" xr:uid="{16F1F6E2-C38B-4936-89A4-C2112D130E4E}">
          <x14:formula1>
            <xm:f>Brains!$K$3:$K$16</xm:f>
          </x14:formula1>
          <xm:sqref>B65</xm:sqref>
        </x14:dataValidation>
        <x14:dataValidation type="list" allowBlank="1" showInputMessage="1" showErrorMessage="1" xr:uid="{016E96EC-315A-4A88-9D9B-F9F378A4E035}">
          <x14:formula1>
            <xm:f>Brains!$B$3:$B$19</xm:f>
          </x14:formula1>
          <xm:sqref>B64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B9D88-6A45-4F30-A088-0934013D43DF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159" t="s">
        <v>800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386200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1</v>
      </c>
      <c r="E4" s="114">
        <f>_xlfn.XLOOKUP(B4,Size[Size],Size[Base Slots],,,)</f>
        <v>1</v>
      </c>
      <c r="F4" s="37">
        <f>B4+O2</f>
        <v>16</v>
      </c>
      <c r="G4" s="168" t="s">
        <v>299</v>
      </c>
      <c r="H4" s="168"/>
      <c r="I4" s="169"/>
      <c r="J4" s="108">
        <f>_xlfn.XLOOKUP(B4,Size[Size],Size[Base hits],,,)</f>
        <v>1</v>
      </c>
      <c r="K4" s="170" t="s">
        <v>727</v>
      </c>
      <c r="L4" s="171"/>
      <c r="M4" s="52">
        <f>_xlfn.XLOOKUP(B4,Size[Size],Size[Basic Cost],,,)</f>
        <v>100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 xml:space="preserve">Small (-4), </v>
      </c>
      <c r="R4" s="7" t="s">
        <v>454</v>
      </c>
    </row>
    <row r="5" spans="1:26" ht="12" customHeight="1" thickBot="1" x14ac:dyDescent="0.4">
      <c r="A5" s="89" t="s">
        <v>38</v>
      </c>
      <c r="B5" s="28" t="s">
        <v>26</v>
      </c>
      <c r="C5" s="24"/>
      <c r="D5" s="24"/>
      <c r="E5" s="114">
        <f>IF(B5="none",ROUNDUP(E4*0.25,0),"")</f>
        <v>1</v>
      </c>
      <c r="F5" s="38"/>
      <c r="G5" s="172" t="s">
        <v>298</v>
      </c>
      <c r="H5" s="172"/>
      <c r="I5" s="173"/>
      <c r="J5" s="103" t="str">
        <f>_xlfn.XLOOKUP(B5,Locomotion[Locomotion],Locomotion[Agility],,,)</f>
        <v>-</v>
      </c>
      <c r="K5" s="42">
        <f>_xlfn.XLOOKUP(B5,Locomotion[Locomotion],Locomotion[TL],,,)</f>
        <v>5</v>
      </c>
      <c r="L5" s="26" t="s">
        <v>311</v>
      </c>
      <c r="M5" s="20">
        <f>_xlfn.XLOOKUP(B5,Locomotion[Locomotion],Locomotion[Cost X])</f>
        <v>1</v>
      </c>
      <c r="N5" s="25" t="str">
        <f>IF(_xlfn.XLOOKUP(B5,Locomotion[Locomotion],Locomotion[Traits],,,)="","",_xlfn.XLOOKUP(B5,Locomotion[Locomotion],Locomotion[Traits],,,))</f>
        <v/>
      </c>
      <c r="O5" s="128" t="s">
        <v>726</v>
      </c>
      <c r="P5" s="135">
        <f>_xlfn.XLOOKUP(B4,Size[Size],Size[Basic Cost],,,)*_xlfn.XLOOKUP(B5,Locomotion[Locomotion],Locomotion[Cost X])</f>
        <v>100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Advanced Pilot Brain</v>
      </c>
      <c r="S6" s="143">
        <f>M11</f>
        <v>1</v>
      </c>
      <c r="T6" s="143" t="str">
        <f>B5</f>
        <v>None</v>
      </c>
      <c r="U6" s="143" t="str">
        <f>_xlfn.CONCAT(J14," m")</f>
        <v>0 m</v>
      </c>
      <c r="V6" s="144">
        <f>O2</f>
        <v>15</v>
      </c>
      <c r="W6" s="147">
        <f>P91</f>
        <v>429160</v>
      </c>
      <c r="X6" s="151">
        <f>IF(I2="Standard Design",0.1,0)</f>
        <v>0.1</v>
      </c>
      <c r="Y6" s="152">
        <v>2</v>
      </c>
      <c r="Z6" s="147">
        <f>FLOOR(P91*(1-X6),100)</f>
        <v>386200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8</v>
      </c>
      <c r="E7" s="114" cm="1">
        <f t="array" ref="E7">IF(ROUNDUP(_xlfn.XLOOKUP($O$2,Armour[TL],Armour[Slots]*B7*E4,,,),0)&lt;B7/F7,-ROUNDUP(B7/F7,0),-ROUNDUP(_xlfn.XLOOKUP($O$2,Armour[TL],Armour[Slots]*B7*E4,,,),0))</f>
        <v>-2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12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(+12), </v>
      </c>
      <c r="P7" s="136" cm="1">
        <f t="array" ref="P7">IF(B7&gt;-1,_xlfn.XLOOKUP($O$2,Armour[TL],-Armour[Cost/Slot]*E7,,,),-P5*0.1)</f>
        <v>5000</v>
      </c>
      <c r="R7" s="213" t="s">
        <v>90</v>
      </c>
      <c r="S7" s="239" t="str">
        <f>_xlfn.CONCAT(O9,O13,O19:O28,O30:O34,O36:O57,O64,O69:O71,O73:O90)</f>
        <v xml:space="preserve">Athletics (dexterity) 4, Astrogation 3, Electronics (comms) 3, Electronics (sensors) 4, Pilot (spacecraft/small craft) 7, </v>
      </c>
      <c r="T7" s="240"/>
      <c r="U7" s="240"/>
      <c r="V7" s="240"/>
      <c r="W7" s="240"/>
      <c r="X7" s="240"/>
      <c r="Y7" s="240"/>
      <c r="Z7" s="241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432</v>
      </c>
      <c r="K8" s="188" t="s">
        <v>64</v>
      </c>
      <c r="L8" s="189"/>
      <c r="M8" s="190"/>
      <c r="P8" s="136">
        <f>B8*0.5*P5</f>
        <v>0</v>
      </c>
      <c r="R8" s="215"/>
      <c r="S8" s="242"/>
      <c r="T8" s="243"/>
      <c r="U8" s="243"/>
      <c r="V8" s="243"/>
      <c r="W8" s="243"/>
      <c r="X8" s="243"/>
      <c r="Y8" s="243"/>
      <c r="Z8" s="244"/>
    </row>
    <row r="9" spans="1:26" ht="12" customHeight="1" x14ac:dyDescent="0.4">
      <c r="A9" s="92" t="s">
        <v>63</v>
      </c>
      <c r="B9" s="30">
        <v>0</v>
      </c>
      <c r="E9" s="114">
        <f>IF(B4&gt;0,-ROUNDUP(0.1*E4,0)*B9,-B9)</f>
        <v>0</v>
      </c>
      <c r="F9" s="37"/>
      <c r="G9" s="179" t="s">
        <v>302</v>
      </c>
      <c r="H9" s="179"/>
      <c r="I9" s="180"/>
      <c r="J9" s="51">
        <f>J8*(1+B9)</f>
        <v>432</v>
      </c>
      <c r="K9" s="181" t="s">
        <v>64</v>
      </c>
      <c r="L9" s="179"/>
      <c r="M9" s="180"/>
      <c r="O9" s="5" t="str">
        <f>IF(B9&gt;0,_xlfn.CONCAT("Athletics (endurance) ",B9,", "),"")</f>
        <v/>
      </c>
      <c r="P9" s="136">
        <f>-500*E9</f>
        <v>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none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1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432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(+12), Small (-4), (stopped),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4</v>
      </c>
      <c r="E13" s="39"/>
      <c r="F13" s="37"/>
      <c r="G13" s="92" t="s">
        <v>305</v>
      </c>
      <c r="H13" s="92"/>
      <c r="I13" s="92"/>
      <c r="J13" s="33" t="str">
        <f>IF(J5="-","-",J5+B13)</f>
        <v>-</v>
      </c>
      <c r="L13" s="11"/>
      <c r="O13" s="5" t="str">
        <f>IF(B13=0,"",_xlfn.CONCAT("Athletics (dexterity) ",B13,", "))</f>
        <v xml:space="preserve">Athletics (dexterity) 4, </v>
      </c>
      <c r="P13" s="136">
        <f>IF(B13=0,0,P5*2^(B13-1))</f>
        <v>800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Very 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0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432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(basic), Visual Spectrum Sensor, Voder Speaker, Wireless Data Link, Drone Interface, External Power, Vacuum Environment Protection, , , , , 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0</v>
      </c>
      <c r="N15" s="5" t="str">
        <f>IF(B5="None","(stopped), ",IF(B15=TRUE,_xlfn.CONCAT("(",_xlfn.XLOOKUP(B5,Locomotion[Locomotion],Locomotion[High Speed],,,),")"),"(idle), "))</f>
        <v xml:space="preserve">(stopped),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0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/>
      <c r="C19" s="60">
        <f t="shared" ref="C19:C26" si="0">IF(B19=0,0,B19*2-1)</f>
        <v>0</v>
      </c>
      <c r="D19" s="95">
        <v>0</v>
      </c>
      <c r="E19" s="100" cm="1">
        <f t="array" ref="E19">ROUNDUP(_xlfn.IFS($B$4-B19=0,0,$B$4-B19=1,$E$4*0.05,$B$4-B19=2,$E$4*0.08,$B$4-B19=3,$E$4*0.09,$B$4-B19&gt;3,$E$4*0.1,$B$4-B19&lt;0,$E$4*0.1*($B$4-B19)),0)</f>
        <v>1</v>
      </c>
      <c r="F19" s="53">
        <f t="shared" ref="F19:F28" si="1">C19*2</f>
        <v>0</v>
      </c>
      <c r="G19" s="16"/>
      <c r="H19" s="60">
        <f t="shared" ref="H19:H28" si="2">C19+G19</f>
        <v>0</v>
      </c>
      <c r="I19" s="61">
        <f t="shared" ref="I19:I28" si="3">IF(H19&gt;17,4,IF(H19&gt;14,3,IF(H19&gt;11,2,IF(H19&gt;8,1,IF(H19&gt;5,0,IF(H19&gt;2,-1,-2))))))</f>
        <v>-2</v>
      </c>
      <c r="J19" s="53">
        <f t="shared" ref="J19:J28" si="4">$O$2+3</f>
        <v>18</v>
      </c>
      <c r="K19" s="16"/>
      <c r="L19" s="156">
        <f>D19+K19</f>
        <v>0</v>
      </c>
      <c r="M19" s="61">
        <f>IF(L19&gt;20,5,IF(L19&gt;17,4,IF(L19&gt;14,3,IF(L19&gt;11,2,IF(L19&gt;8,1,IF(L19&gt;5,0,IF(L19&gt;2,-1,-2)))))))</f>
        <v>-2</v>
      </c>
      <c r="O19" s="12" t="str">
        <f t="shared" ref="O19:O28" si="5">IF(I19&gt;0,_xlfn.CONCAT("Athletics (strength) ",I19,", "),"")</f>
        <v/>
      </c>
      <c r="P19" s="136">
        <f>IF((B19-$B$4)*100&gt;-0.2*$P$5,(B19-$B$4)*100,-0.2*$P$5)+B19*100*(G19)^2+B19*200*(K19)^2</f>
        <v>-20</v>
      </c>
    </row>
    <row r="20" spans="1:26" ht="12" customHeight="1" x14ac:dyDescent="0.35">
      <c r="A20" s="92" t="s">
        <v>51</v>
      </c>
      <c r="B20" s="35"/>
      <c r="C20" s="6">
        <f t="shared" si="0"/>
        <v>0</v>
      </c>
      <c r="D20" s="96">
        <f t="shared" ref="D20:D26" si="6">IF(B20=0,0,ROUNDUP($O$2/2+1,0))</f>
        <v>0</v>
      </c>
      <c r="E20" s="100" cm="1">
        <f t="array" ref="E20">ROUNDUP(_xlfn.IFS($B$4-B20=0,0,$B$4-B20=1,$E$4*0.05,$B$4-B20=2,$E$4*0.08,$B$4-B20=3,$E$4*0.09,$B$4-B20&gt;3,$E$4*0.1,$B$4-B20&lt;0,$E$4*0.1*($B$4-B20)),0)</f>
        <v>1</v>
      </c>
      <c r="F20" s="53">
        <f t="shared" si="1"/>
        <v>0</v>
      </c>
      <c r="G20" s="16"/>
      <c r="H20" s="6">
        <f t="shared" si="2"/>
        <v>0</v>
      </c>
      <c r="I20" s="21">
        <f t="shared" si="3"/>
        <v>-2</v>
      </c>
      <c r="J20" s="53">
        <f t="shared" si="4"/>
        <v>18</v>
      </c>
      <c r="K20" s="16"/>
      <c r="L20" s="6">
        <f t="shared" ref="L20:L28" si="7">D20+K20</f>
        <v>0</v>
      </c>
      <c r="M20" s="61">
        <f t="shared" ref="M20:M28" si="8">IF(L20&gt;20,5,IF(L20&gt;17,4,IF(L20&gt;14,3,IF(L20&gt;11,2,IF(L20&gt;8,1,IF(L20&gt;5,0,IF(L20&gt;2,-1,-2)))))))</f>
        <v>-2</v>
      </c>
      <c r="O20" s="5" t="str">
        <f t="shared" si="5"/>
        <v/>
      </c>
      <c r="P20" s="136">
        <f>IF((B20-$B$4)*100&gt;-0.2*$P$5,(B20-$B$4)*100,-0.2*$P$5)+B20*100*(G20)^2+B20*200*(K20)^2</f>
        <v>-20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7"/>
        <v>0</v>
      </c>
      <c r="M21" s="61">
        <f t="shared" si="8"/>
        <v>-2</v>
      </c>
      <c r="O21" s="5" t="str">
        <f t="shared" si="5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7"/>
        <v>0</v>
      </c>
      <c r="M22" s="61">
        <f t="shared" si="8"/>
        <v>-2</v>
      </c>
      <c r="O22" s="5" t="str">
        <f t="shared" si="5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7"/>
        <v>0</v>
      </c>
      <c r="M23" s="61">
        <f t="shared" si="8"/>
        <v>-2</v>
      </c>
      <c r="O23" s="5" t="str">
        <f t="shared" si="5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7"/>
        <v>0</v>
      </c>
      <c r="M24" s="61">
        <f t="shared" si="8"/>
        <v>-2</v>
      </c>
      <c r="O24" s="5" t="str">
        <f t="shared" si="5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7"/>
        <v>0</v>
      </c>
      <c r="M25" s="61">
        <f t="shared" si="8"/>
        <v>-2</v>
      </c>
      <c r="O25" s="5" t="str">
        <f t="shared" si="5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7"/>
        <v>0</v>
      </c>
      <c r="M26" s="157">
        <f t="shared" si="8"/>
        <v>-2</v>
      </c>
      <c r="O26" s="5" t="str">
        <f t="shared" si="5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[null]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7"/>
        <v>0</v>
      </c>
      <c r="M27" s="61">
        <f>IF(L27&gt;20,5,IF(L27&gt;17,4,IF(L27&gt;14,3,IF(L27&gt;11,2,IF(L27&gt;8,1,IF(L27&gt;5,0,IF(L27&gt;2,-1,-2)))))))</f>
        <v>-2</v>
      </c>
      <c r="N27" s="73"/>
      <c r="O27" s="88" t="str">
        <f t="shared" si="5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[null]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7"/>
        <v>0</v>
      </c>
      <c r="M28" s="61">
        <f t="shared" si="8"/>
        <v>-2</v>
      </c>
      <c r="N28" s="24"/>
      <c r="O28" s="5" t="str">
        <f t="shared" si="5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463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7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284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0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/>
      </c>
      <c r="I36" s="194"/>
      <c r="J36" s="194"/>
      <c r="K36" s="43">
        <f>_xlfn.XLOOKUP(A36,OptionsTable[Name],OptionsTable[TL],,,)</f>
        <v>6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231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-1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/>
      </c>
      <c r="I37" s="194"/>
      <c r="J37" s="194"/>
      <c r="K37" s="43">
        <f>_xlfn.XLOOKUP(A37,OptionsTable[Name],OptionsTable[TL],,,)</f>
        <v>9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100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100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0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>+ Hostile env</v>
      </c>
      <c r="I38" s="194"/>
      <c r="J38" s="194"/>
      <c r="K38" s="43">
        <f>_xlfn.XLOOKUP(A38,OptionsTable[Name],OptionsTable[TL],,,)</f>
        <v>6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600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/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0</v>
      </c>
      <c r="F39" s="37">
        <f>IF(_xlfn.XLOOKUP(A39,OptionsTable[Name],OptionsTable[xS],,,)=FALSE,1,IF($B$4&gt;0,$E$4,1))</f>
        <v>1</v>
      </c>
      <c r="G39" s="57"/>
      <c r="H39" s="193" t="str">
        <f>IF(_xlfn.XLOOKUP(A39,OptionsTable[Name],OptionsTable[Notes],,,)="","",_xlfn.XLOOKUP(A39,OptionsTable[Name],OptionsTable[Notes],,,))</f>
        <v/>
      </c>
      <c r="I39" s="194"/>
      <c r="J39" s="194"/>
      <c r="K39" s="43">
        <f>_xlfn.XLOOKUP(A39,OptionsTable[Name],OptionsTable[TL],,,)</f>
        <v>0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/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0</v>
      </c>
      <c r="F40" s="37">
        <f>IF(_xlfn.XLOOKUP(A40,OptionsTable[Name],OptionsTable[xS],,,)=FALSE,1,IF($B$4&gt;0,$E$4,1))</f>
        <v>1</v>
      </c>
      <c r="G40" s="57"/>
      <c r="H40" s="193" t="str">
        <f>IF(_xlfn.XLOOKUP(A40,OptionsTable[Name],OptionsTable[Notes],,,)="","",_xlfn.XLOOKUP(A40,OptionsTable[Name],OptionsTable[Notes],,,))</f>
        <v/>
      </c>
      <c r="I40" s="194"/>
      <c r="J40" s="194"/>
      <c r="K40" s="43">
        <f>_xlfn.XLOOKUP(A40,OptionsTable[Name],OptionsTable[TL],,,)</f>
        <v>0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/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0</v>
      </c>
      <c r="F41" s="37">
        <f>IF(_xlfn.XLOOKUP(A41,OptionsTable[Name],OptionsTable[xS],,,)=FALSE,1,IF($B$4&gt;0,$E$4,1))</f>
        <v>1</v>
      </c>
      <c r="G41" s="57"/>
      <c r="H41" s="193" t="str">
        <f>IF(_xlfn.XLOOKUP(A41,OptionsTable[Name],OptionsTable[Notes],,,)="","",_xlfn.XLOOKUP(A41,OptionsTable[Name],OptionsTable[Notes],,,))</f>
        <v/>
      </c>
      <c r="I41" s="194"/>
      <c r="J41" s="194"/>
      <c r="K41" s="43">
        <f>_xlfn.XLOOKUP(A41,OptionsTable[Name],OptionsTable[TL],,,)</f>
        <v>0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/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</v>
      </c>
      <c r="G42" s="57"/>
      <c r="H42" s="193" t="str">
        <f>IF(_xlfn.XLOOKUP(A42,OptionsTable[Name],OptionsTable[Notes],,,)="","",_xlfn.XLOOKUP(A42,OptionsTable[Name],OptionsTable[Notes],,,))</f>
        <v/>
      </c>
      <c r="I42" s="194"/>
      <c r="J42" s="194"/>
      <c r="K42" s="43">
        <f>_xlfn.XLOOKUP(A42,OptionsTable[Name],OptionsTable[TL],,,)</f>
        <v>0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81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9</v>
      </c>
      <c r="I64" s="31">
        <f>IF(H64&gt;17,4,IF(H64&gt;14,3,IF(H64&gt;11,2,IF(H64&gt;8,1,IF(H64&gt;5,0,IF(H64&gt;2,-1,-2))))))</f>
        <v>1</v>
      </c>
      <c r="J64" s="1">
        <f>_xlfn.XLOOKUP(B64,Brains[Programming/Control],Brains[Computer/X],,,)</f>
        <v>3</v>
      </c>
      <c r="K64" s="43">
        <f>_xlfn.XLOOKUP(B64,Brains[Programming/Control],Brains[TL],,,)</f>
        <v>12</v>
      </c>
      <c r="L64">
        <f>_xlfn.XLOOKUP(B64,Brains[Programming/Control],Brains[Computer/X],,,)</f>
        <v>3</v>
      </c>
      <c r="M64" s="12" t="str">
        <f>_xlfn.XLOOKUP(B64,Brains[Programming/Control],Brains[Base capability (built-in no bandwidth, cumulative)],,,)</f>
        <v>Intellect Interface, Expert/2, Security/2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62500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168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12</v>
      </c>
      <c r="L65">
        <f>_xlfn.XLOOKUP(B65,Bandwidth[Minimum Base Brain],Bandwidth[Bandwidth],,,)+L64</f>
        <v>11</v>
      </c>
      <c r="M65" t="s">
        <v>310</v>
      </c>
      <c r="P65" s="136">
        <f>_xlfn.XLOOKUP(B65,Bandwidth[Minimum Base Brain],Bandwidth[Cost],,,)</f>
        <v>100000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11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3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119</v>
      </c>
      <c r="B73" s="153"/>
      <c r="C73" s="154"/>
      <c r="D73" s="57">
        <v>2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3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14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Astrogation 3,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50000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47" t="s">
        <v>148</v>
      </c>
      <c r="B74" s="153" t="s">
        <v>801</v>
      </c>
      <c r="C74" s="154"/>
      <c r="D74" s="57">
        <v>2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2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10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Electronics (comms) 3,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10000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148</v>
      </c>
      <c r="B75" s="153" t="s">
        <v>799</v>
      </c>
      <c r="C75" s="154"/>
      <c r="D75" s="57">
        <v>3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3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11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Electronics (sensors) 4,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100000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138</v>
      </c>
      <c r="B76" s="193" t="s">
        <v>836</v>
      </c>
      <c r="C76" s="227"/>
      <c r="D76" s="57">
        <v>3</v>
      </c>
      <c r="E76" s="39"/>
      <c r="G76" s="59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>3</v>
      </c>
      <c r="I76" s="58" t="str">
        <f>_xlfn.XLOOKUP(A76,StandardBrain[Name],StandardBrain[Characteristic],,,)</f>
        <v>DEX</v>
      </c>
      <c r="K76" s="43">
        <f>_xlfn.XLOOKUP(A76,StandardBrain[Name],StandardBrain[TL],,,)+D76</f>
        <v>11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 xml:space="preserve">Pilot (spacecraft/small craft) 7, </v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100000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221"/>
      <c r="C78" s="248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221"/>
      <c r="C79" s="248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429160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386200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38">
    <sortCondition ref="A36:A38"/>
  </sortState>
  <dataConsolidate/>
  <mergeCells count="111">
    <mergeCell ref="G5:I5"/>
    <mergeCell ref="H6:N6"/>
    <mergeCell ref="G7:I7"/>
    <mergeCell ref="G8:I8"/>
    <mergeCell ref="K8:M8"/>
    <mergeCell ref="S9:Z9"/>
    <mergeCell ref="B2:D2"/>
    <mergeCell ref="F2:H2"/>
    <mergeCell ref="I2:M2"/>
    <mergeCell ref="G3:J3"/>
    <mergeCell ref="G4:I4"/>
    <mergeCell ref="K4:L4"/>
    <mergeCell ref="R7:R8"/>
    <mergeCell ref="S7:Z8"/>
    <mergeCell ref="G11:H11"/>
    <mergeCell ref="K11:L11"/>
    <mergeCell ref="S12:Z12"/>
    <mergeCell ref="G12:O12"/>
    <mergeCell ref="S13:Z13"/>
    <mergeCell ref="R14:R18"/>
    <mergeCell ref="S14:Z18"/>
    <mergeCell ref="G9:I9"/>
    <mergeCell ref="K9:M9"/>
    <mergeCell ref="S10:Z10"/>
    <mergeCell ref="G10:H10"/>
    <mergeCell ref="K10:M10"/>
    <mergeCell ref="S11:Z11"/>
    <mergeCell ref="H33:J33"/>
    <mergeCell ref="A34:D34"/>
    <mergeCell ref="H34:J34"/>
    <mergeCell ref="H35:J35"/>
    <mergeCell ref="A36:D36"/>
    <mergeCell ref="H36:J36"/>
    <mergeCell ref="R21:Z76"/>
    <mergeCell ref="B29:D29"/>
    <mergeCell ref="H29:J29"/>
    <mergeCell ref="A30:D30"/>
    <mergeCell ref="H30:J30"/>
    <mergeCell ref="A31:D31"/>
    <mergeCell ref="H31:J31"/>
    <mergeCell ref="A32:D32"/>
    <mergeCell ref="H32:J32"/>
    <mergeCell ref="A33:D33"/>
    <mergeCell ref="A40:D40"/>
    <mergeCell ref="H40:J40"/>
    <mergeCell ref="A41:D41"/>
    <mergeCell ref="H41:J41"/>
    <mergeCell ref="A42:D42"/>
    <mergeCell ref="H42:J42"/>
    <mergeCell ref="A37:D37"/>
    <mergeCell ref="H37:J37"/>
    <mergeCell ref="A38:D38"/>
    <mergeCell ref="H38:J38"/>
    <mergeCell ref="A39:D39"/>
    <mergeCell ref="H39:J39"/>
    <mergeCell ref="A46:D46"/>
    <mergeCell ref="H46:J46"/>
    <mergeCell ref="A47:D47"/>
    <mergeCell ref="H47:J47"/>
    <mergeCell ref="A48:D48"/>
    <mergeCell ref="H48:J48"/>
    <mergeCell ref="A43:D43"/>
    <mergeCell ref="H43:J43"/>
    <mergeCell ref="A44:D44"/>
    <mergeCell ref="H44:J44"/>
    <mergeCell ref="A45:D45"/>
    <mergeCell ref="H45:J45"/>
    <mergeCell ref="A52:D52"/>
    <mergeCell ref="H52:J52"/>
    <mergeCell ref="A53:D53"/>
    <mergeCell ref="H53:J53"/>
    <mergeCell ref="A54:D54"/>
    <mergeCell ref="H54:J54"/>
    <mergeCell ref="A49:D49"/>
    <mergeCell ref="H49:J49"/>
    <mergeCell ref="A50:D50"/>
    <mergeCell ref="H50:J50"/>
    <mergeCell ref="A51:D51"/>
    <mergeCell ref="H51:J51"/>
    <mergeCell ref="A59:D59"/>
    <mergeCell ref="H59:I59"/>
    <mergeCell ref="A60:D60"/>
    <mergeCell ref="H60:I60"/>
    <mergeCell ref="A61:D61"/>
    <mergeCell ref="H61:I61"/>
    <mergeCell ref="A55:D55"/>
    <mergeCell ref="H55:J55"/>
    <mergeCell ref="A56:D56"/>
    <mergeCell ref="H56:J56"/>
    <mergeCell ref="A57:D57"/>
    <mergeCell ref="H57:J57"/>
    <mergeCell ref="B78:C78"/>
    <mergeCell ref="B79:C79"/>
    <mergeCell ref="B64:D64"/>
    <mergeCell ref="B65:D65"/>
    <mergeCell ref="B69:D69"/>
    <mergeCell ref="B70:D70"/>
    <mergeCell ref="B71:D71"/>
    <mergeCell ref="B76:C76"/>
    <mergeCell ref="B77:C77"/>
    <mergeCell ref="B86:C86"/>
    <mergeCell ref="B87:C87"/>
    <mergeCell ref="B88:C88"/>
    <mergeCell ref="B89:C89"/>
    <mergeCell ref="B90:C90"/>
    <mergeCell ref="B80:C80"/>
    <mergeCell ref="B81:C81"/>
    <mergeCell ref="B82:C82"/>
    <mergeCell ref="B83:C83"/>
    <mergeCell ref="B84:C84"/>
    <mergeCell ref="B85:C85"/>
  </mergeCells>
  <conditionalFormatting sqref="B14">
    <cfRule type="expression" dxfId="41" priority="6">
      <formula>ABS($J$14-6) &gt; 6</formula>
    </cfRule>
  </conditionalFormatting>
  <conditionalFormatting sqref="E2">
    <cfRule type="expression" dxfId="40" priority="4">
      <formula>$E$2&lt;0</formula>
    </cfRule>
  </conditionalFormatting>
  <conditionalFormatting sqref="E15:E17">
    <cfRule type="expression" dxfId="39" priority="1">
      <formula>AND($B$4=0,E15&lt;0)</formula>
    </cfRule>
  </conditionalFormatting>
  <conditionalFormatting sqref="K5 K30:K34 K36:K57 K59:K61 K64:K67 K73:K90">
    <cfRule type="expression" dxfId="38" priority="5">
      <formula>K5&gt;$O$2</formula>
    </cfRule>
  </conditionalFormatting>
  <conditionalFormatting sqref="L57">
    <cfRule type="expression" dxfId="37" priority="2">
      <formula>L57&gt;$O$2</formula>
    </cfRule>
  </conditionalFormatting>
  <conditionalFormatting sqref="L67">
    <cfRule type="expression" dxfId="36" priority="3">
      <formula>L67&lt;0</formula>
    </cfRule>
  </conditionalFormatting>
  <dataValidations count="20">
    <dataValidation type="whole" allowBlank="1" showInputMessage="1" showErrorMessage="1" error="Total Armour cannot exceed Maximum" sqref="B7" xr:uid="{26D80E44-67F8-4CA9-9A9C-D4280AEDCEB1}">
      <formula1>-1</formula1>
      <formula2>L7-MID(A7,18,1)</formula2>
    </dataValidation>
    <dataValidation type="whole" allowBlank="1" showInputMessage="1" showErrorMessage="1" error="Max DEX = TL+3" sqref="K19:K28" xr:uid="{46A05AE6-0BB8-4F2A-9373-8991307B9084}">
      <formula1>0</formula1>
      <formula2>J19-D19</formula2>
    </dataValidation>
    <dataValidation type="whole" allowBlank="1" showInputMessage="1" showErrorMessage="1" error="Max STR = Lesser of Size + TL or SIZE X 4" sqref="G19:G28" xr:uid="{F1586E71-5469-4F4F-9C15-984A7A312944}">
      <formula1>0</formula1>
      <formula2>F19-C19</formula2>
    </dataValidation>
    <dataValidation type="whole" allowBlank="1" showInputMessage="1" showErrorMessage="1" sqref="E13:E14" xr:uid="{9CCD4E85-C6E0-4A35-9321-48A13981BA8B}">
      <formula1>0</formula1>
      <formula2>#REF!/2</formula2>
    </dataValidation>
    <dataValidation type="whole" allowBlank="1" showInputMessage="1" showErrorMessage="1" sqref="C14:D14" xr:uid="{7596AF6E-1519-4D87-A281-E69A957C2185}">
      <formula1>0</formula1>
      <formula2>D15/2</formula2>
    </dataValidation>
    <dataValidation type="whole" allowBlank="1" showInputMessage="1" showErrorMessage="1" sqref="C13:D13" xr:uid="{0CAEC077-A56E-4342-B89B-44DAF2DB36B1}">
      <formula1>0</formula1>
      <formula2>D5/2</formula2>
    </dataValidation>
    <dataValidation type="whole" allowBlank="1" showInputMessage="1" showErrorMessage="1" sqref="C11:D11" xr:uid="{72DA7F4B-8E17-4AFD-BDB2-CCCBCE70F69B}">
      <formula1>0</formula1>
      <formula2>D4/2</formula2>
    </dataValidation>
    <dataValidation type="whole" allowBlank="1" showInputMessage="1" showErrorMessage="1" error="Must be whole number between -6 and +12" sqref="B14" xr:uid="{11D45856-36D2-4DB7-9B86-FC874CE55F40}">
      <formula1>-6</formula1>
      <formula2>12</formula2>
    </dataValidation>
    <dataValidation type="list" allowBlank="1" showInputMessage="1" showErrorMessage="1" sqref="B16" xr:uid="{909BCB1B-E091-4D87-8805-71F6642473AD}">
      <formula1>"No,1X,2X,3X"</formula1>
    </dataValidation>
    <dataValidation type="list" allowBlank="1" showInputMessage="1" showErrorMessage="1" sqref="B15" xr:uid="{9F760FF8-88AC-43E6-A674-214AEF1700EC}">
      <formula1>"FALSE,TRUE"</formula1>
    </dataValidation>
    <dataValidation type="list" allowBlank="1" showInputMessage="1" showErrorMessage="1" sqref="B66 D73:D90" xr:uid="{53FF2A18-534D-4775-A657-19F2E5F464E5}">
      <formula1>"0,1,2,3"</formula1>
    </dataValidation>
    <dataValidation type="list" allowBlank="1" showInputMessage="1" showErrorMessage="1" sqref="B13" xr:uid="{8FF5F1AD-BCF5-4212-B9A5-BDB52EEA7D63}">
      <formula1>"0,1,2,3,4"</formula1>
    </dataValidation>
    <dataValidation type="list" allowBlank="1" showInputMessage="1" showErrorMessage="1" sqref="B27:B28 B67 B8" xr:uid="{EE201040-5A8A-42A2-8B34-0FA0341CA25D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6E91D2B6-170F-45AA-BACC-2A3F9258170A}">
      <formula1>0</formula1>
      <formula2>$B$4+2</formula2>
    </dataValidation>
    <dataValidation type="list" allowBlank="1" showInputMessage="1" showErrorMessage="1" sqref="O2" xr:uid="{03702CE9-3CDF-4B33-A2EB-02D8EC7B286E}">
      <formula1>"7,8,9,10,11,12,13,14,15,16,17,18"</formula1>
    </dataValidation>
    <dataValidation type="list" allowBlank="1" showInputMessage="1" showErrorMessage="1" sqref="B4" xr:uid="{1E1BD232-6080-4E8A-A5BA-2FDC07061F42}">
      <formula1>"0,1,2,3,4,5,6,7,8"</formula1>
    </dataValidation>
    <dataValidation type="list" allowBlank="1" showInputMessage="1" showErrorMessage="1" error="Maximum = 3" sqref="B9" xr:uid="{C973B942-FF17-438D-8111-184EA311F91F}">
      <formula1>"0,1,2,3"</formula1>
    </dataValidation>
    <dataValidation type="whole" allowBlank="1" showInputMessage="1" showErrorMessage="1" sqref="E11" xr:uid="{31694DAA-1B2E-4D74-8D47-5F1378AA4422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D0B94B22-288D-4660-85B0-935FBDE71B64}">
      <formula1>0</formula1>
      <formula2>E4/2</formula2>
    </dataValidation>
    <dataValidation type="whole" allowBlank="1" showInputMessage="1" showErrorMessage="1" error="Must be a negative number no less than a 50% of the base hits" sqref="B11" xr:uid="{CAC12B03-DA12-444C-B53F-BE9CEB50DC34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225CDD15-1519-4053-AD15-3576CC46CA5B}">
          <x14:formula1>
            <xm:f>Packages!$B$23:$B$25</xm:f>
          </x14:formula1>
          <xm:sqref>B71</xm:sqref>
        </x14:dataValidation>
        <x14:dataValidation type="list" allowBlank="1" showInputMessage="1" showErrorMessage="1" xr:uid="{FFD9910E-B090-4668-A5F0-A7D019D50C24}">
          <x14:formula1>
            <xm:f>Packages!$B$3:$B$7</xm:f>
          </x14:formula1>
          <xm:sqref>B69</xm:sqref>
        </x14:dataValidation>
        <x14:dataValidation type="list" allowBlank="1" showInputMessage="1" showErrorMessage="1" xr:uid="{DC3081E6-AE4C-48CF-BD51-D1662A6EE537}">
          <x14:formula1>
            <xm:f>Packages!$B$11:$B$19</xm:f>
          </x14:formula1>
          <xm:sqref>B70</xm:sqref>
        </x14:dataValidation>
        <x14:dataValidation type="list" allowBlank="1" showInputMessage="1" showErrorMessage="1" xr:uid="{22BE91D9-D8D8-48DE-B7EF-9A1AD20138FE}">
          <x14:formula1>
            <xm:f>Chassis!$H$3:$H$13</xm:f>
          </x14:formula1>
          <xm:sqref>B17 B5</xm:sqref>
        </x14:dataValidation>
        <x14:dataValidation type="list" allowBlank="1" showInputMessage="1" showErrorMessage="1" xr:uid="{3E258F83-F17A-4544-869A-0EDAC45CD189}">
          <x14:formula1>
            <xm:f>Options!$C$9:$C$71</xm:f>
          </x14:formula1>
          <xm:sqref>A30:A34</xm:sqref>
        </x14:dataValidation>
        <x14:dataValidation type="list" allowBlank="1" showInputMessage="1" showErrorMessage="1" xr:uid="{580C9033-6FEC-4C55-B267-481DA8800B44}">
          <x14:formula1>
            <xm:f>Options!$C$9:$C$251</xm:f>
          </x14:formula1>
          <xm:sqref>A36:A56</xm:sqref>
        </x14:dataValidation>
        <x14:dataValidation type="list" allowBlank="1" showInputMessage="1" showErrorMessage="1" xr:uid="{31477301-AD5F-42DF-BD94-5594B9CE96A2}">
          <x14:formula1>
            <xm:f>Packages!$B$29:$B$68</xm:f>
          </x14:formula1>
          <xm:sqref>A73:A90</xm:sqref>
        </x14:dataValidation>
        <x14:dataValidation type="list" allowBlank="1" showInputMessage="1" showErrorMessage="1" xr:uid="{60176E15-42E8-4F2D-AAAF-D1D9BB08C730}">
          <x14:formula1>
            <xm:f>Brains!$K$3:$K$16</xm:f>
          </x14:formula1>
          <xm:sqref>B65</xm:sqref>
        </x14:dataValidation>
        <x14:dataValidation type="list" allowBlank="1" showInputMessage="1" showErrorMessage="1" xr:uid="{FFC5AF7C-61F3-4A4C-B7E0-8833A61BA867}">
          <x14:formula1>
            <xm:f>Brains!$B$3:$B$19</xm:f>
          </x14:formula1>
          <xm:sqref>B64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144D-9493-491A-8331-ECA9C0AA1496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827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33600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5</v>
      </c>
      <c r="E4" s="114">
        <f>_xlfn.XLOOKUP(B4,Size[Size],Size[Base Slots],,,)</f>
        <v>16</v>
      </c>
      <c r="F4" s="37">
        <f>B4+O2</f>
        <v>17</v>
      </c>
      <c r="G4" s="168" t="s">
        <v>299</v>
      </c>
      <c r="H4" s="168"/>
      <c r="I4" s="169"/>
      <c r="J4" s="108">
        <f>_xlfn.XLOOKUP(B4,Size[Size],Size[Base hits],,,)</f>
        <v>20</v>
      </c>
      <c r="K4" s="170" t="s">
        <v>727</v>
      </c>
      <c r="L4" s="171"/>
      <c r="M4" s="52">
        <f>_xlfn.XLOOKUP(B4,Size[Size],Size[Basic Cost],,,)</f>
        <v>1000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/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10000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Basic Steward Droid</v>
      </c>
      <c r="S6" s="143">
        <f>M11</f>
        <v>20</v>
      </c>
      <c r="T6" s="143" t="str">
        <f>B5</f>
        <v>Walker</v>
      </c>
      <c r="U6" s="143" t="str">
        <f>_xlfn.CONCAT(J14," m")</f>
        <v>5 m</v>
      </c>
      <c r="V6" s="144">
        <f>O2</f>
        <v>12</v>
      </c>
      <c r="W6" s="147">
        <f>P91</f>
        <v>37400</v>
      </c>
      <c r="X6" s="151">
        <f>IF(I2="Standard Design",0.1,0)</f>
        <v>0.1</v>
      </c>
      <c r="Y6" s="152">
        <v>2</v>
      </c>
      <c r="Z6" s="147">
        <f>FLOOR(P91*(1-X6),100)</f>
        <v>33600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40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Carouse 0, Steward 1,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108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-2</v>
      </c>
      <c r="F9" s="37"/>
      <c r="G9" s="179" t="s">
        <v>302</v>
      </c>
      <c r="H9" s="179"/>
      <c r="I9" s="180"/>
      <c r="J9" s="51">
        <f>J8*(1+B9)</f>
        <v>216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1000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7 DEX 7)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20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216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(idle),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Advanced (INT 8)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216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(improved), Visual Spectrum Sensor, Voder Speaker, Wireless Data Link, Autobar (improved), Autochef (improved), Olfactory Sensor (basic), Quick Charger, Storage Compartment (refrigerated), Storage Compartment (standard), Vacuum Environment Protection, 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4</v>
      </c>
      <c r="C19" s="60">
        <f t="shared" ref="C19:C26" si="0">IF(B19=0,0,B19*2-1)</f>
        <v>7</v>
      </c>
      <c r="D19" s="95">
        <f>ROUNDUP($O$2/2+1,0)</f>
        <v>7</v>
      </c>
      <c r="E19" s="100" cm="1">
        <f t="array" ref="E19">ROUNDUP(_xlfn.IFS($B$4-B19=0,0,$B$4-B19=1,$E$4*0.05,$B$4-B19=2,$E$4*0.08,$B$4-B19=3,$E$4*0.09,$B$4-B19&gt;3,$E$4*0.1,$B$4-B19&lt;0,$E$4*0.1*($B$4-B19)),0)</f>
        <v>1</v>
      </c>
      <c r="F19" s="53">
        <f t="shared" ref="F19:F28" si="1">C19*2</f>
        <v>14</v>
      </c>
      <c r="G19" s="16"/>
      <c r="H19" s="60">
        <f t="shared" ref="H19:H28" si="2">C19+G19</f>
        <v>7</v>
      </c>
      <c r="I19" s="61">
        <f t="shared" ref="I19:I28" si="3">IF(H19&gt;17,4,IF(H19&gt;14,3,IF(H19&gt;11,2,IF(H19&gt;8,1,IF(H19&gt;5,0,IF(H19&gt;2,-1,-2))))))</f>
        <v>0</v>
      </c>
      <c r="J19" s="53">
        <f t="shared" ref="J19:J28" si="4">$O$2+3</f>
        <v>15</v>
      </c>
      <c r="K19" s="16"/>
      <c r="L19" s="60">
        <f t="shared" ref="L19:L28" si="5">D19+K19</f>
        <v>7</v>
      </c>
      <c r="M19" s="61">
        <f>IF(L19&gt;20,5,IF(L19&gt;17,4,IF(L19&gt;14,3,IF(L19&gt;11,2,IF(L19&gt;8,1,IF(L19&gt;5,0,IF(L19&gt;2,-1,-2)))))))</f>
        <v>0</v>
      </c>
      <c r="O19" s="12" t="str">
        <f>IF(I19&gt;0,_xlfn.CONCAT("Athletics (strength) ",I19,", "),"")</f>
        <v/>
      </c>
      <c r="P19" s="136">
        <f>IF((B19-$B$4)*100&gt;-0.2*$P$5,(B19-$B$4)*100,-0.2*$P$5)+B19*100*(G19)^2+B19*200*(K19)^2</f>
        <v>-100</v>
      </c>
    </row>
    <row r="20" spans="1:26" ht="12" customHeight="1" x14ac:dyDescent="0.35">
      <c r="A20" s="92" t="s">
        <v>51</v>
      </c>
      <c r="B20" s="35">
        <v>4</v>
      </c>
      <c r="C20" s="6">
        <f t="shared" si="0"/>
        <v>7</v>
      </c>
      <c r="D20" s="96">
        <f t="shared" ref="D20:D26" si="6">IF(B20=0,0,ROUNDUP($O$2/2+1,0))</f>
        <v>7</v>
      </c>
      <c r="E20" s="100" cm="1">
        <f t="array" ref="E20">ROUNDUP(_xlfn.IFS($B$4-B20=0,0,$B$4-B20=1,$E$4*0.05,$B$4-B20=2,$E$4*0.08,$B$4-B20=3,$E$4*0.09,$B$4-B20&gt;3,$E$4*0.1,$B$4-B20&lt;0,$E$4*0.1*($B$4-B20)),0)</f>
        <v>1</v>
      </c>
      <c r="F20" s="53">
        <f t="shared" si="1"/>
        <v>14</v>
      </c>
      <c r="G20" s="16"/>
      <c r="H20" s="6">
        <f t="shared" si="2"/>
        <v>7</v>
      </c>
      <c r="I20" s="21">
        <f t="shared" si="3"/>
        <v>0</v>
      </c>
      <c r="J20" s="53">
        <f t="shared" si="4"/>
        <v>15</v>
      </c>
      <c r="K20" s="16"/>
      <c r="L20" s="6">
        <f t="shared" si="5"/>
        <v>7</v>
      </c>
      <c r="M20" s="61">
        <f t="shared" ref="M20:M28" si="7">IF(L20&gt;20,5,IF(L20&gt;17,4,IF(L20&gt;14,3,IF(L20&gt;11,2,IF(L20&gt;8,1,IF(L20&gt;5,0,IF(L20&gt;2,-1,-2)))))))</f>
        <v>0</v>
      </c>
      <c r="O20" s="12" t="str">
        <f t="shared" ref="O20:O28" si="8">IF(I20&gt;0,_xlfn.CONCAT("Athletics (strength) ",I20,", "),"")</f>
        <v/>
      </c>
      <c r="P20" s="136">
        <f>IF((B20-$B$4)*100&gt;-0.2*$P$5,(B20-$B$4)*100,-0.2*$P$5)+B20*100*(G20)^2+B20*200*(K20)^2</f>
        <v>-100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15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15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15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15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15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15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15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15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464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8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193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-2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>1 max skill</v>
      </c>
      <c r="I36" s="194"/>
      <c r="J36" s="194"/>
      <c r="K36" s="43">
        <f>_xlfn.XLOOKUP(A36,OptionsTable[Name],OptionsTable[TL],,,)</f>
        <v>9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1000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197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-3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1 max skill</v>
      </c>
      <c r="I37" s="194"/>
      <c r="J37" s="194"/>
      <c r="K37" s="43">
        <f>_xlfn.XLOOKUP(A37,OptionsTable[Name],OptionsTable[TL],,,)</f>
        <v>10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2000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214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0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/>
      </c>
      <c r="I38" s="194"/>
      <c r="J38" s="194"/>
      <c r="K38" s="43">
        <f>_xlfn.XLOOKUP(A38,OptionsTable[Name],OptionsTable[TL],,,)</f>
        <v>8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/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1500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641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-1</v>
      </c>
      <c r="F39" s="37">
        <f>IF(_xlfn.XLOOKUP(A39,OptionsTable[Name],OptionsTable[xS],,,)=FALSE,1,IF($B$4&gt;0,$E$4,1))</f>
        <v>1</v>
      </c>
      <c r="G39" s="57"/>
      <c r="H39" s="193" t="str">
        <f>IF(_xlfn.XLOOKUP(A39,OptionsTable[Name],OptionsTable[Notes],,,)="","",_xlfn.XLOOKUP(A39,OptionsTable[Name],OptionsTable[Notes],,,))</f>
        <v>1 hour recharge</v>
      </c>
      <c r="I39" s="194"/>
      <c r="J39" s="194"/>
      <c r="K39" s="43">
        <f>_xlfn.XLOOKUP(A39,OptionsTable[Name],OptionsTable[TL],,,)</f>
        <v>8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200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190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-6</v>
      </c>
      <c r="F40" s="37">
        <f>IF(_xlfn.XLOOKUP(A40,OptionsTable[Name],OptionsTable[xS],,,)=FALSE,1,IF($B$4&gt;0,$E$4,1))</f>
        <v>1</v>
      </c>
      <c r="G40" s="57">
        <v>6</v>
      </c>
      <c r="H40" s="193" t="str">
        <f>IF(_xlfn.XLOOKUP(A40,OptionsTable[Name],OptionsTable[Notes],,,)="","",_xlfn.XLOOKUP(A40,OptionsTable[Name],OptionsTable[Notes],,,))</f>
        <v>2 kg or litres / slot</v>
      </c>
      <c r="I40" s="194"/>
      <c r="J40" s="194"/>
      <c r="K40" s="43">
        <f>_xlfn.XLOOKUP(A40,OptionsTable[Name],OptionsTable[TL],,,)</f>
        <v>6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600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 t="s">
        <v>471</v>
      </c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-4</v>
      </c>
      <c r="F41" s="37">
        <f>IF(_xlfn.XLOOKUP(A41,OptionsTable[Name],OptionsTable[xS],,,)=FALSE,1,IF($B$4&gt;0,$E$4,1))</f>
        <v>1</v>
      </c>
      <c r="G41" s="57">
        <v>4</v>
      </c>
      <c r="H41" s="193" t="str">
        <f>IF(_xlfn.XLOOKUP(A41,OptionsTable[Name],OptionsTable[Notes],,,)="","",_xlfn.XLOOKUP(A41,OptionsTable[Name],OptionsTable[Notes],,,))</f>
        <v>2 kg or litres / slot</v>
      </c>
      <c r="I41" s="194"/>
      <c r="J41" s="194"/>
      <c r="K41" s="43">
        <f>_xlfn.XLOOKUP(A41,OptionsTable[Name],OptionsTable[TL],,,)</f>
        <v>6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200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 t="s">
        <v>100</v>
      </c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16</v>
      </c>
      <c r="G42" s="57"/>
      <c r="H42" s="193" t="str">
        <f>IF(_xlfn.XLOOKUP(A42,OptionsTable[Name],OptionsTable[Notes],,,)="","",_xlfn.XLOOKUP(A42,OptionsTable[Name],OptionsTable[Notes],,,))</f>
        <v>+ Hostile env</v>
      </c>
      <c r="I42" s="194"/>
      <c r="J42" s="194"/>
      <c r="K42" s="43">
        <f>_xlfn.XLOOKUP(A42,OptionsTable[Name],OptionsTable[TL],,,)</f>
        <v>6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9600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80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8</v>
      </c>
      <c r="I64" s="31">
        <f>IF(H64&gt;17,4,IF(H64&gt;14,3,IF(H64&gt;11,2,IF(H64&gt;8,1,IF(H64&gt;5,0,IF(H64&gt;2,-1,-2))))))</f>
        <v>0</v>
      </c>
      <c r="J64" s="1">
        <f>_xlfn.XLOOKUP(B64,Brains[Programming/Control],Brains[Computer/X],,,)</f>
        <v>2</v>
      </c>
      <c r="K64" s="43">
        <f>_xlfn.XLOOKUP(B64,Brains[Programming/Control],Brains[TL],,,)</f>
        <v>12</v>
      </c>
      <c r="L64">
        <f>_xlfn.XLOOKUP(B64,Brains[Programming/Control],Brains[Computer/X],,,)</f>
        <v>2</v>
      </c>
      <c r="M64" s="12" t="str">
        <f>_xlfn.XLOOKUP(B64,Brains[Programming/Control],Brains[Base capability (built-in no bandwidth, cumulative)],,,)</f>
        <v>Intelligent Interface, Expert/1, Security/1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26</v>
      </c>
      <c r="C65" s="192"/>
      <c r="D65" s="192"/>
      <c r="E65" s="39">
        <f>-_xlfn.XLOOKUP(B65,Bandwidth[Minimum Base Brain],Bandwidth[Slots],,,)</f>
        <v>0</v>
      </c>
      <c r="F65" s="37"/>
      <c r="K65" s="43">
        <f>_xlfn.XLOOKUP(B65,Bandwidth[Minimum Base Brain],Bandwidth[TL],,,)</f>
        <v>0</v>
      </c>
      <c r="L65">
        <f>_xlfn.XLOOKUP(B65,Bandwidth[Minimum Base Brain],Bandwidth[Bandwidth],,,)+L64</f>
        <v>2</v>
      </c>
      <c r="M65" t="s">
        <v>310</v>
      </c>
      <c r="P65" s="136">
        <f>_xlfn.XLOOKUP(B65,Bandwidth[Minimum Base Brain],Bandwidth[Cost],,,)</f>
        <v>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8</v>
      </c>
      <c r="I66" s="15">
        <f>IF(H66&gt;17,4,IF(H66&gt;14,3,IF(H66&gt;11,2,IF(H66&gt;8,1,IF(H66&gt;5,0,IF(H66&gt;2,-1,-2))))))</f>
        <v>0</v>
      </c>
      <c r="K66" s="43"/>
      <c r="L66" s="55">
        <f>L65+F66</f>
        <v>2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2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122</v>
      </c>
      <c r="B73" s="225"/>
      <c r="C73" s="226"/>
      <c r="D73" s="57">
        <v>0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1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11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Carouse 0,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500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144</v>
      </c>
      <c r="B74" s="193"/>
      <c r="C74" s="227"/>
      <c r="D74" s="57">
        <v>1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1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9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Steward 1,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1000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117</v>
      </c>
      <c r="B75" s="193"/>
      <c r="C75" s="227"/>
      <c r="D75" s="57"/>
      <c r="E75" s="39"/>
      <c r="G75" s="59" t="str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/>
      </c>
      <c r="I75" s="58" t="str">
        <f>_xlfn.XLOOKUP(A75,StandardBrain[Name],StandardBrain[Characteristic],,,)</f>
        <v xml:space="preserve"> </v>
      </c>
      <c r="K75" s="43">
        <f>_xlfn.XLOOKUP(A75,StandardBrain[Name],StandardBrain[TL],,,)+D75</f>
        <v>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/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37400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33600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2">
    <sortCondition ref="A36:A42"/>
  </sortState>
  <dataConsolidate/>
  <mergeCells count="114">
    <mergeCell ref="B90:C90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1:D71"/>
    <mergeCell ref="B73:C73"/>
    <mergeCell ref="B74:C74"/>
    <mergeCell ref="B75:C75"/>
    <mergeCell ref="B76:C76"/>
    <mergeCell ref="B77:C77"/>
    <mergeCell ref="A61:D61"/>
    <mergeCell ref="H61:I61"/>
    <mergeCell ref="B64:D64"/>
    <mergeCell ref="B65:D65"/>
    <mergeCell ref="B69:D69"/>
    <mergeCell ref="B70:D70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A37:D37"/>
    <mergeCell ref="H37:J37"/>
    <mergeCell ref="A38:D38"/>
    <mergeCell ref="H38:J38"/>
    <mergeCell ref="A45:D45"/>
    <mergeCell ref="H45:J45"/>
    <mergeCell ref="A46:D46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H32:J32"/>
    <mergeCell ref="A33:D33"/>
    <mergeCell ref="H33:J33"/>
    <mergeCell ref="A34:D34"/>
    <mergeCell ref="H34:J34"/>
    <mergeCell ref="H35:J35"/>
    <mergeCell ref="R14:R18"/>
    <mergeCell ref="S14:Z18"/>
    <mergeCell ref="R21:Z76"/>
    <mergeCell ref="B29:D29"/>
    <mergeCell ref="H29:J29"/>
    <mergeCell ref="A30:D30"/>
    <mergeCell ref="H30:J30"/>
    <mergeCell ref="A31:D31"/>
    <mergeCell ref="H31:J31"/>
    <mergeCell ref="A32:D32"/>
    <mergeCell ref="A39:D39"/>
    <mergeCell ref="H39:J39"/>
    <mergeCell ref="A40:D40"/>
    <mergeCell ref="H40:J40"/>
    <mergeCell ref="A41:D41"/>
    <mergeCell ref="H41:J41"/>
    <mergeCell ref="A36:D36"/>
    <mergeCell ref="H36:J36"/>
    <mergeCell ref="G11:H11"/>
    <mergeCell ref="K11:L11"/>
    <mergeCell ref="S11:Z11"/>
    <mergeCell ref="G12:O12"/>
    <mergeCell ref="S12:Z12"/>
    <mergeCell ref="S13:Z13"/>
    <mergeCell ref="G9:I9"/>
    <mergeCell ref="K9:M9"/>
    <mergeCell ref="S9:Z9"/>
    <mergeCell ref="G10:H10"/>
    <mergeCell ref="K10:M10"/>
    <mergeCell ref="S10:Z10"/>
    <mergeCell ref="S7:Z8"/>
    <mergeCell ref="R7:R8"/>
    <mergeCell ref="G5:I5"/>
    <mergeCell ref="H6:N6"/>
    <mergeCell ref="G7:I7"/>
    <mergeCell ref="G8:I8"/>
    <mergeCell ref="K8:M8"/>
    <mergeCell ref="B2:D2"/>
    <mergeCell ref="F2:H2"/>
    <mergeCell ref="I2:M2"/>
    <mergeCell ref="G3:J3"/>
    <mergeCell ref="G4:I4"/>
    <mergeCell ref="K4:L4"/>
  </mergeCells>
  <conditionalFormatting sqref="B14">
    <cfRule type="expression" dxfId="35" priority="6">
      <formula>ABS($J$14-6) &gt; 6</formula>
    </cfRule>
  </conditionalFormatting>
  <conditionalFormatting sqref="E2">
    <cfRule type="expression" dxfId="34" priority="4">
      <formula>$E$2&lt;0</formula>
    </cfRule>
  </conditionalFormatting>
  <conditionalFormatting sqref="E15:E17">
    <cfRule type="expression" dxfId="33" priority="1">
      <formula>AND($B$4=0,E15&lt;0)</formula>
    </cfRule>
  </conditionalFormatting>
  <conditionalFormatting sqref="K5 K30:K34 K36:K57 K59:K61 K64:K67 K73:K90">
    <cfRule type="expression" dxfId="32" priority="5">
      <formula>K5&gt;$O$2</formula>
    </cfRule>
  </conditionalFormatting>
  <conditionalFormatting sqref="L57">
    <cfRule type="expression" dxfId="31" priority="2">
      <formula>L57&gt;$O$2</formula>
    </cfRule>
  </conditionalFormatting>
  <conditionalFormatting sqref="L67">
    <cfRule type="expression" dxfId="30" priority="3">
      <formula>L67&lt;0</formula>
    </cfRule>
  </conditionalFormatting>
  <dataValidations count="20">
    <dataValidation type="whole" allowBlank="1" showInputMessage="1" showErrorMessage="1" error="Total Armour cannot exceed Maximum" sqref="B7" xr:uid="{9300B32D-BFC6-4EF2-A1EA-BB60412BBA23}">
      <formula1>-1</formula1>
      <formula2>L7-MID(A7,18,1)</formula2>
    </dataValidation>
    <dataValidation type="whole" allowBlank="1" showInputMessage="1" showErrorMessage="1" error="Max DEX = TL+3" sqref="K19:K28" xr:uid="{B109E65B-C96B-4AB0-BA8E-CEAE78638BAC}">
      <formula1>0</formula1>
      <formula2>J19-D19</formula2>
    </dataValidation>
    <dataValidation type="whole" allowBlank="1" showInputMessage="1" showErrorMessage="1" error="Max STR = Lesser of Size + TL or SIZE X 4" sqref="G19:G28" xr:uid="{0CDC24C1-1F48-4380-9E09-4A8ACAAA1FA7}">
      <formula1>0</formula1>
      <formula2>F19-C19</formula2>
    </dataValidation>
    <dataValidation type="whole" allowBlank="1" showInputMessage="1" showErrorMessage="1" sqref="E13:E14" xr:uid="{FADD563F-7D83-4435-9B7F-AAADC0854283}">
      <formula1>0</formula1>
      <formula2>#REF!/2</formula2>
    </dataValidation>
    <dataValidation type="whole" allowBlank="1" showInputMessage="1" showErrorMessage="1" sqref="C14:D14" xr:uid="{3860EF80-C267-4DD0-81F6-9A6E2E9F04F2}">
      <formula1>0</formula1>
      <formula2>D15/2</formula2>
    </dataValidation>
    <dataValidation type="whole" allowBlank="1" showInputMessage="1" showErrorMessage="1" sqref="C13:D13" xr:uid="{45394B17-D388-4CDA-B8FF-31172260D29B}">
      <formula1>0</formula1>
      <formula2>D5/2</formula2>
    </dataValidation>
    <dataValidation type="whole" allowBlank="1" showInputMessage="1" showErrorMessage="1" sqref="C11:D11" xr:uid="{42658C03-810B-42F5-B3F5-C3D9ADD1EF8C}">
      <formula1>0</formula1>
      <formula2>D4/2</formula2>
    </dataValidation>
    <dataValidation type="whole" allowBlank="1" showInputMessage="1" showErrorMessage="1" error="Must be whole number between -6 and +12" sqref="B14" xr:uid="{96B0A8EB-C130-4E9E-8864-DB9FC9314F57}">
      <formula1>-6</formula1>
      <formula2>12</formula2>
    </dataValidation>
    <dataValidation type="list" allowBlank="1" showInputMessage="1" showErrorMessage="1" sqref="B16" xr:uid="{61ACCCDA-F1A2-48A8-85BE-A75DFE9941D9}">
      <formula1>"No,1X,2X,3X"</formula1>
    </dataValidation>
    <dataValidation type="list" allowBlank="1" showInputMessage="1" showErrorMessage="1" sqref="B15" xr:uid="{F5C48F5B-5BB7-42D9-8882-C899BD15C18A}">
      <formula1>"FALSE,TRUE"</formula1>
    </dataValidation>
    <dataValidation type="list" allowBlank="1" showInputMessage="1" showErrorMessage="1" sqref="D73:D90 B66" xr:uid="{1BDE7A26-C8F3-4A50-BB25-5B2B4E98656D}">
      <formula1>"0,1,2,3"</formula1>
    </dataValidation>
    <dataValidation type="list" allowBlank="1" showInputMessage="1" showErrorMessage="1" sqref="B13" xr:uid="{08E9C7E0-A53C-4577-B9CD-E863518F6BC5}">
      <formula1>"0,1,2,3,4"</formula1>
    </dataValidation>
    <dataValidation type="list" allowBlank="1" showInputMessage="1" showErrorMessage="1" sqref="B27:B28 B67 B8" xr:uid="{7048B39E-6930-4533-AA0B-E58E1515596D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09FBB41A-5FAD-428B-AF2D-6DA3A818F312}">
      <formula1>0</formula1>
      <formula2>$B$4+2</formula2>
    </dataValidation>
    <dataValidation type="list" allowBlank="1" showInputMessage="1" showErrorMessage="1" sqref="O2" xr:uid="{2D7C704C-4B3D-4A1C-A767-D816D1ACD8DA}">
      <formula1>"7,8,9,10,11,12,13,14,15,16,17,18"</formula1>
    </dataValidation>
    <dataValidation type="list" allowBlank="1" showInputMessage="1" showErrorMessage="1" sqref="B4" xr:uid="{CA8DCD2E-7607-41E4-BD02-ABB78DCD9C1A}">
      <formula1>"0,1,2,3,4,5,6,7,8"</formula1>
    </dataValidation>
    <dataValidation type="list" allowBlank="1" showInputMessage="1" showErrorMessage="1" error="Maximum = 3" sqref="B9" xr:uid="{8D06222C-2539-41A0-B629-0FD717230507}">
      <formula1>"0,1,2,3"</formula1>
    </dataValidation>
    <dataValidation type="whole" allowBlank="1" showInputMessage="1" showErrorMessage="1" sqref="E11" xr:uid="{CA49AD4B-D72A-411C-9B53-5BCF12BFCAA8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2E73F91F-5D0B-4B01-BC91-47F636774A23}">
      <formula1>0</formula1>
      <formula2>E4/2</formula2>
    </dataValidation>
    <dataValidation type="whole" allowBlank="1" showInputMessage="1" showErrorMessage="1" error="Must be a negative number no less than a 50% of the base hits" sqref="B11" xr:uid="{729AFB46-41AF-42AC-A458-FF4F7FFF5B08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C36997EA-0F39-431A-8A47-47997C23B9B4}">
          <x14:formula1>
            <xm:f>Packages!$B$23:$B$25</xm:f>
          </x14:formula1>
          <xm:sqref>B71</xm:sqref>
        </x14:dataValidation>
        <x14:dataValidation type="list" allowBlank="1" showInputMessage="1" showErrorMessage="1" xr:uid="{F589A46A-B0F0-4BE9-8EA3-C59E1E194625}">
          <x14:formula1>
            <xm:f>Packages!$B$3:$B$7</xm:f>
          </x14:formula1>
          <xm:sqref>B69</xm:sqref>
        </x14:dataValidation>
        <x14:dataValidation type="list" allowBlank="1" showInputMessage="1" showErrorMessage="1" xr:uid="{9048E491-4015-487F-ABFF-CECF9FAEAAAD}">
          <x14:formula1>
            <xm:f>Packages!$B$11:$B$19</xm:f>
          </x14:formula1>
          <xm:sqref>B70</xm:sqref>
        </x14:dataValidation>
        <x14:dataValidation type="list" allowBlank="1" showInputMessage="1" showErrorMessage="1" xr:uid="{A1C38BD1-4823-4CC4-A587-85BDC5F31801}">
          <x14:formula1>
            <xm:f>Chassis!$H$3:$H$13</xm:f>
          </x14:formula1>
          <xm:sqref>B17 B5</xm:sqref>
        </x14:dataValidation>
        <x14:dataValidation type="list" allowBlank="1" showInputMessage="1" showErrorMessage="1" xr:uid="{147B4A81-8F16-4BE1-8361-ABD12DC7B5C1}">
          <x14:formula1>
            <xm:f>Options!$C$9:$C$71</xm:f>
          </x14:formula1>
          <xm:sqref>A30:A34</xm:sqref>
        </x14:dataValidation>
        <x14:dataValidation type="list" allowBlank="1" showInputMessage="1" showErrorMessage="1" xr:uid="{D612D7AE-8357-42C0-A5DC-8DDD5C1959CB}">
          <x14:formula1>
            <xm:f>Options!$C$9:$C$251</xm:f>
          </x14:formula1>
          <xm:sqref>A36:A56</xm:sqref>
        </x14:dataValidation>
        <x14:dataValidation type="list" allowBlank="1" showInputMessage="1" showErrorMessage="1" xr:uid="{D3892A05-5B4F-4EBA-8041-C5CAFE1F1EE0}">
          <x14:formula1>
            <xm:f>Packages!$B$29:$B$68</xm:f>
          </x14:formula1>
          <xm:sqref>A73:A90</xm:sqref>
        </x14:dataValidation>
        <x14:dataValidation type="list" allowBlank="1" showInputMessage="1" showErrorMessage="1" xr:uid="{B948D52E-6416-40D6-89F3-1F8CBDFB69CC}">
          <x14:formula1>
            <xm:f>Brains!$K$3:$K$16</xm:f>
          </x14:formula1>
          <xm:sqref>B65</xm:sqref>
        </x14:dataValidation>
        <x14:dataValidation type="list" allowBlank="1" showInputMessage="1" showErrorMessage="1" xr:uid="{7A9D1300-30B7-4DFE-AFB8-0F1EB920581D}">
          <x14:formula1>
            <xm:f>Brains!$B$3:$B$19</xm:f>
          </x14:formula1>
          <xm:sqref>B64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BF252-713E-49DA-A29C-8207C0143FA2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831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12</v>
      </c>
      <c r="P2" s="150">
        <f>Z6</f>
        <v>77700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5</v>
      </c>
      <c r="E4" s="114">
        <f>_xlfn.XLOOKUP(B4,Size[Size],Size[Base Slots],,,)</f>
        <v>16</v>
      </c>
      <c r="F4" s="37">
        <f>B4+O2</f>
        <v>17</v>
      </c>
      <c r="G4" s="168" t="s">
        <v>299</v>
      </c>
      <c r="H4" s="168"/>
      <c r="I4" s="169"/>
      <c r="J4" s="108">
        <f>_xlfn.XLOOKUP(B4,Size[Size],Size[Base hits],,,)</f>
        <v>20</v>
      </c>
      <c r="K4" s="170" t="s">
        <v>727</v>
      </c>
      <c r="L4" s="171"/>
      <c r="M4" s="52">
        <f>_xlfn.XLOOKUP(B4,Size[Size],Size[Basic Cost],,,)</f>
        <v>1000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/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10000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Improved Steward Droid</v>
      </c>
      <c r="S6" s="143">
        <f>M11</f>
        <v>20</v>
      </c>
      <c r="T6" s="143" t="str">
        <f>B5</f>
        <v>Walker</v>
      </c>
      <c r="U6" s="143" t="str">
        <f>_xlfn.CONCAT(J14," m")</f>
        <v>5 m</v>
      </c>
      <c r="V6" s="144">
        <f>O2</f>
        <v>12</v>
      </c>
      <c r="W6" s="147">
        <f>P91</f>
        <v>86350</v>
      </c>
      <c r="X6" s="151">
        <f>IF(I2="Standard Design",0.1,0)</f>
        <v>0.1</v>
      </c>
      <c r="Y6" s="152">
        <v>2</v>
      </c>
      <c r="Z6" s="147">
        <f>FLOOR(P91*(1-X6),100)</f>
        <v>77700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3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40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Athletics (strength) 1, Athletics (strength) 1, Carouse 2, Persuade 1, Steward 3,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108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-2</v>
      </c>
      <c r="F9" s="37"/>
      <c r="G9" s="179" t="s">
        <v>302</v>
      </c>
      <c r="H9" s="179"/>
      <c r="I9" s="180"/>
      <c r="J9" s="51">
        <f>J8*(1+B9)</f>
        <v>216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1000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9 DEX 7)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20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216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(idle), Heightened Senses,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216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(improved), Visual Spectrum Sensor, Voder Speaker, Wireless Data Link, Autobar (enhanced), Autochef (enhanced), Olfactory Sensor (improved), Quick Charger, Storage Compartment (refrigerated), Storage Compartment (standard), Vacuum Environment Protection, 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5</v>
      </c>
      <c r="C19" s="60">
        <f t="shared" ref="C19:C26" si="0">IF(B19=0,0,B19*2-1)</f>
        <v>9</v>
      </c>
      <c r="D19" s="95">
        <f>ROUNDUP($O$2/2+1,0)</f>
        <v>7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18</v>
      </c>
      <c r="G19" s="16"/>
      <c r="H19" s="60">
        <f t="shared" ref="H19:H28" si="2">C19+G19</f>
        <v>9</v>
      </c>
      <c r="I19" s="61">
        <f t="shared" ref="I19:I28" si="3">IF(H19&gt;17,4,IF(H19&gt;14,3,IF(H19&gt;11,2,IF(H19&gt;8,1,IF(H19&gt;5,0,IF(H19&gt;2,-1,-2))))))</f>
        <v>1</v>
      </c>
      <c r="J19" s="53">
        <f t="shared" ref="J19:J28" si="4">$O$2+3</f>
        <v>15</v>
      </c>
      <c r="K19" s="16"/>
      <c r="L19" s="60">
        <f t="shared" ref="L19:L28" si="5">D19+K19</f>
        <v>7</v>
      </c>
      <c r="M19" s="61">
        <f>IF(L19&gt;20,5,IF(L19&gt;17,4,IF(L19&gt;14,3,IF(L19&gt;11,2,IF(L19&gt;8,1,IF(L19&gt;5,0,IF(L19&gt;2,-1,-2)))))))</f>
        <v>0</v>
      </c>
      <c r="O19" s="12" t="str">
        <f>IF(I19&gt;0,_xlfn.CONCAT("Athletics (strength) ",I19,", "),"")</f>
        <v xml:space="preserve">Athletics (strength) 1, </v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5</v>
      </c>
      <c r="C20" s="6">
        <f t="shared" si="0"/>
        <v>9</v>
      </c>
      <c r="D20" s="96">
        <f t="shared" ref="D20:D26" si="6">IF(B20=0,0,ROUNDUP($O$2/2+1,0))</f>
        <v>7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18</v>
      </c>
      <c r="G20" s="16"/>
      <c r="H20" s="6">
        <f t="shared" si="2"/>
        <v>9</v>
      </c>
      <c r="I20" s="21">
        <f t="shared" si="3"/>
        <v>1</v>
      </c>
      <c r="J20" s="53">
        <f t="shared" si="4"/>
        <v>15</v>
      </c>
      <c r="K20" s="16"/>
      <c r="L20" s="6">
        <f t="shared" si="5"/>
        <v>7</v>
      </c>
      <c r="M20" s="61">
        <f t="shared" ref="M20:M28" si="7">IF(L20&gt;20,5,IF(L20&gt;17,4,IF(L20&gt;14,3,IF(L20&gt;11,2,IF(L20&gt;8,1,IF(L20&gt;5,0,IF(L20&gt;2,-1,-2)))))))</f>
        <v>0</v>
      </c>
      <c r="O20" s="12" t="str">
        <f t="shared" ref="O20:O28" si="8">IF(I20&gt;0,_xlfn.CONCAT("Athletics (strength) ",I20,", "),"")</f>
        <v xml:space="preserve">Athletics (strength) 1, </v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15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15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15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15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15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15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15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15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464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8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194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-2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>2 max skill</v>
      </c>
      <c r="I36" s="194"/>
      <c r="J36" s="194"/>
      <c r="K36" s="43">
        <f>_xlfn.XLOOKUP(A36,OptionsTable[Name],OptionsTable[TL],,,)</f>
        <v>10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2000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198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-3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2 max skill</v>
      </c>
      <c r="I37" s="194"/>
      <c r="J37" s="194"/>
      <c r="K37" s="43">
        <f>_xlfn.XLOOKUP(A37,OptionsTable[Name],OptionsTable[TL],,,)</f>
        <v>11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5000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215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0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/>
      </c>
      <c r="I38" s="194"/>
      <c r="J38" s="194"/>
      <c r="K38" s="43">
        <f>_xlfn.XLOOKUP(A38,OptionsTable[Name],OptionsTable[TL],,,)</f>
        <v>10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 xml:space="preserve">Heightened Senses, </v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3500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641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-1</v>
      </c>
      <c r="F39" s="37">
        <f>IF(_xlfn.XLOOKUP(A39,OptionsTable[Name],OptionsTable[xS],,,)=FALSE,1,IF($B$4&gt;0,$E$4,1))</f>
        <v>1</v>
      </c>
      <c r="G39" s="57"/>
      <c r="H39" s="193" t="str">
        <f>IF(_xlfn.XLOOKUP(A39,OptionsTable[Name],OptionsTable[Notes],,,)="","",_xlfn.XLOOKUP(A39,OptionsTable[Name],OptionsTable[Notes],,,))</f>
        <v>1 hour recharge</v>
      </c>
      <c r="I39" s="194"/>
      <c r="J39" s="194"/>
      <c r="K39" s="43">
        <f>_xlfn.XLOOKUP(A39,OptionsTable[Name],OptionsTable[TL],,,)</f>
        <v>8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200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190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-4</v>
      </c>
      <c r="F40" s="37">
        <f>IF(_xlfn.XLOOKUP(A40,OptionsTable[Name],OptionsTable[xS],,,)=FALSE,1,IF($B$4&gt;0,$E$4,1))</f>
        <v>1</v>
      </c>
      <c r="G40" s="57">
        <v>4</v>
      </c>
      <c r="H40" s="193" t="str">
        <f>IF(_xlfn.XLOOKUP(A40,OptionsTable[Name],OptionsTable[Notes],,,)="","",_xlfn.XLOOKUP(A40,OptionsTable[Name],OptionsTable[Notes],,,))</f>
        <v>2 kg or litres / slot</v>
      </c>
      <c r="I40" s="194"/>
      <c r="J40" s="194"/>
      <c r="K40" s="43">
        <f>_xlfn.XLOOKUP(A40,OptionsTable[Name],OptionsTable[TL],,,)</f>
        <v>6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400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 t="s">
        <v>471</v>
      </c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-3</v>
      </c>
      <c r="F41" s="37">
        <f>IF(_xlfn.XLOOKUP(A41,OptionsTable[Name],OptionsTable[xS],,,)=FALSE,1,IF($B$4&gt;0,$E$4,1))</f>
        <v>1</v>
      </c>
      <c r="G41" s="57">
        <v>3</v>
      </c>
      <c r="H41" s="193" t="str">
        <f>IF(_xlfn.XLOOKUP(A41,OptionsTable[Name],OptionsTable[Notes],,,)="","",_xlfn.XLOOKUP(A41,OptionsTable[Name],OptionsTable[Notes],,,))</f>
        <v>2 kg or litres / slot</v>
      </c>
      <c r="I41" s="194"/>
      <c r="J41" s="194"/>
      <c r="K41" s="43">
        <f>_xlfn.XLOOKUP(A41,OptionsTable[Name],OptionsTable[TL],,,)</f>
        <v>6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150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 t="s">
        <v>100</v>
      </c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16</v>
      </c>
      <c r="G42" s="57"/>
      <c r="H42" s="193" t="str">
        <f>IF(_xlfn.XLOOKUP(A42,OptionsTable[Name],OptionsTable[Notes],,,)="","",_xlfn.XLOOKUP(A42,OptionsTable[Name],OptionsTable[Notes],,,))</f>
        <v>+ Hostile env</v>
      </c>
      <c r="I42" s="194"/>
      <c r="J42" s="194"/>
      <c r="K42" s="43">
        <f>_xlfn.XLOOKUP(A42,OptionsTable[Name],OptionsTable[TL],,,)</f>
        <v>6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9600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80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8</v>
      </c>
      <c r="I64" s="31">
        <f>IF(H64&gt;17,4,IF(H64&gt;14,3,IF(H64&gt;11,2,IF(H64&gt;8,1,IF(H64&gt;5,0,IF(H64&gt;2,-1,-2))))))</f>
        <v>0</v>
      </c>
      <c r="J64" s="1">
        <f>_xlfn.XLOOKUP(B64,Brains[Programming/Control],Brains[Computer/X],,,)</f>
        <v>2</v>
      </c>
      <c r="K64" s="43">
        <f>_xlfn.XLOOKUP(B64,Brains[Programming/Control],Brains[TL],,,)</f>
        <v>12</v>
      </c>
      <c r="L64">
        <f>_xlfn.XLOOKUP(B64,Brains[Programming/Control],Brains[Computer/X],,,)</f>
        <v>2</v>
      </c>
      <c r="M64" s="12" t="str">
        <f>_xlfn.XLOOKUP(B64,Brains[Programming/Control],Brains[Base capability (built-in no bandwidth, cumulative)],,,)</f>
        <v>Intelligent Interface, Expert/1, Security/1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10000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159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12</v>
      </c>
      <c r="L65">
        <f>_xlfn.XLOOKUP(B65,Bandwidth[Minimum Base Brain],Bandwidth[Bandwidth],,,)+L64</f>
        <v>6</v>
      </c>
      <c r="M65" t="s">
        <v>310</v>
      </c>
      <c r="P65" s="136">
        <f>_xlfn.XLOOKUP(B65,Bandwidth[Minimum Base Brain],Bandwidth[Cost],,,)</f>
        <v>20000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1</v>
      </c>
      <c r="E66" s="39"/>
      <c r="F66" s="37" cm="1">
        <f t="array" ref="F66">_xlfn.IFS(B66=0,0,B66=1,-1,B66=2,-3,B66=3,-6)</f>
        <v>-1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5</v>
      </c>
      <c r="M66" t="s">
        <v>310</v>
      </c>
      <c r="P66" s="136" cm="1">
        <f t="array" ref="P66">_xlfn.IFS(B66=0,0,B66=1,(H64+1)*1000,B66=2,(H64+1)*(H64+2)*1000,B66=3,(H64+1)*(H64+2)*(H64+3)*1000)*IF(H66&gt;11,2,1)</f>
        <v>9000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2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122</v>
      </c>
      <c r="B73" s="225"/>
      <c r="C73" s="226"/>
      <c r="D73" s="57">
        <v>1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2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12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Carouse 2,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5000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134</v>
      </c>
      <c r="B74" s="193"/>
      <c r="C74" s="227"/>
      <c r="D74" s="57">
        <v>0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1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11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Persuade 1,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500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144</v>
      </c>
      <c r="B75" s="193"/>
      <c r="C75" s="227"/>
      <c r="D75" s="57">
        <v>2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2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Steward 3,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10000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86350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77700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2">
    <sortCondition ref="A36:A42"/>
  </sortState>
  <dataConsolidate/>
  <mergeCells count="114">
    <mergeCell ref="B90:C90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1:D71"/>
    <mergeCell ref="B73:C73"/>
    <mergeCell ref="B74:C74"/>
    <mergeCell ref="B75:C75"/>
    <mergeCell ref="B76:C76"/>
    <mergeCell ref="B77:C77"/>
    <mergeCell ref="A61:D61"/>
    <mergeCell ref="H61:I61"/>
    <mergeCell ref="B64:D64"/>
    <mergeCell ref="B65:D65"/>
    <mergeCell ref="B69:D69"/>
    <mergeCell ref="B70:D70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A37:D37"/>
    <mergeCell ref="H37:J37"/>
    <mergeCell ref="A38:D38"/>
    <mergeCell ref="H38:J38"/>
    <mergeCell ref="A45:D45"/>
    <mergeCell ref="H45:J45"/>
    <mergeCell ref="A46:D46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H32:J32"/>
    <mergeCell ref="A33:D33"/>
    <mergeCell ref="H33:J33"/>
    <mergeCell ref="A34:D34"/>
    <mergeCell ref="H34:J34"/>
    <mergeCell ref="H35:J35"/>
    <mergeCell ref="R14:R18"/>
    <mergeCell ref="S14:Z18"/>
    <mergeCell ref="R21:Z76"/>
    <mergeCell ref="B29:D29"/>
    <mergeCell ref="H29:J29"/>
    <mergeCell ref="A30:D30"/>
    <mergeCell ref="H30:J30"/>
    <mergeCell ref="A31:D31"/>
    <mergeCell ref="H31:J31"/>
    <mergeCell ref="A32:D32"/>
    <mergeCell ref="A39:D39"/>
    <mergeCell ref="H39:J39"/>
    <mergeCell ref="A40:D40"/>
    <mergeCell ref="H40:J40"/>
    <mergeCell ref="A41:D41"/>
    <mergeCell ref="H41:J41"/>
    <mergeCell ref="A36:D36"/>
    <mergeCell ref="H36:J36"/>
    <mergeCell ref="G11:H11"/>
    <mergeCell ref="K11:L11"/>
    <mergeCell ref="S11:Z11"/>
    <mergeCell ref="G12:O12"/>
    <mergeCell ref="S12:Z12"/>
    <mergeCell ref="S13:Z13"/>
    <mergeCell ref="G9:I9"/>
    <mergeCell ref="K9:M9"/>
    <mergeCell ref="S9:Z9"/>
    <mergeCell ref="G10:H10"/>
    <mergeCell ref="K10:M10"/>
    <mergeCell ref="S10:Z10"/>
    <mergeCell ref="S7:Z8"/>
    <mergeCell ref="R7:R8"/>
    <mergeCell ref="G5:I5"/>
    <mergeCell ref="H6:N6"/>
    <mergeCell ref="G7:I7"/>
    <mergeCell ref="G8:I8"/>
    <mergeCell ref="K8:M8"/>
    <mergeCell ref="B2:D2"/>
    <mergeCell ref="F2:H2"/>
    <mergeCell ref="I2:M2"/>
    <mergeCell ref="G3:J3"/>
    <mergeCell ref="G4:I4"/>
    <mergeCell ref="K4:L4"/>
  </mergeCells>
  <conditionalFormatting sqref="B14">
    <cfRule type="expression" dxfId="29" priority="6">
      <formula>ABS($J$14-6) &gt; 6</formula>
    </cfRule>
  </conditionalFormatting>
  <conditionalFormatting sqref="E2">
    <cfRule type="expression" dxfId="28" priority="4">
      <formula>$E$2&lt;0</formula>
    </cfRule>
  </conditionalFormatting>
  <conditionalFormatting sqref="E15:E17">
    <cfRule type="expression" dxfId="27" priority="1">
      <formula>AND($B$4=0,E15&lt;0)</formula>
    </cfRule>
  </conditionalFormatting>
  <conditionalFormatting sqref="K5 K30:K34 K36:K57 K59:K61 K64:K67 K73:K90">
    <cfRule type="expression" dxfId="26" priority="5">
      <formula>K5&gt;$O$2</formula>
    </cfRule>
  </conditionalFormatting>
  <conditionalFormatting sqref="L57">
    <cfRule type="expression" dxfId="25" priority="2">
      <formula>L57&gt;$O$2</formula>
    </cfRule>
  </conditionalFormatting>
  <conditionalFormatting sqref="L67">
    <cfRule type="expression" dxfId="24" priority="3">
      <formula>L67&lt;0</formula>
    </cfRule>
  </conditionalFormatting>
  <dataValidations count="20">
    <dataValidation type="whole" allowBlank="1" showInputMessage="1" showErrorMessage="1" error="Must be a negative number no less than a 50% of the base hits" sqref="B11" xr:uid="{201B04D0-2A18-42FB-872F-631018716424}">
      <formula1>-J4/2</formula1>
      <formula2>0</formula2>
    </dataValidation>
    <dataValidation type="whole" allowBlank="1" showInputMessage="1" showErrorMessage="1" error="Must be whole number. No more than 50% of slots may be used for Resiliency" sqref="B10" xr:uid="{42840D34-1CB7-4B31-ABB1-C7C74C3A0EF0}">
      <formula1>0</formula1>
      <formula2>E4/2</formula2>
    </dataValidation>
    <dataValidation type="whole" allowBlank="1" showInputMessage="1" showErrorMessage="1" sqref="E11" xr:uid="{9B79F858-C625-460E-A4E3-06927D6E86AF}">
      <formula1>0</formula1>
      <formula2>J4/2</formula2>
    </dataValidation>
    <dataValidation type="list" allowBlank="1" showInputMessage="1" showErrorMessage="1" error="Maximum = 3" sqref="B9" xr:uid="{82A4B2B3-1FFB-4995-A280-CC856A460C9F}">
      <formula1>"0,1,2,3"</formula1>
    </dataValidation>
    <dataValidation type="list" allowBlank="1" showInputMessage="1" showErrorMessage="1" sqref="B4" xr:uid="{50EB628E-BD77-4B1F-9511-DA9F6146B62C}">
      <formula1>"0,1,2,3,4,5,6,7,8"</formula1>
    </dataValidation>
    <dataValidation type="list" allowBlank="1" showInputMessage="1" showErrorMessage="1" sqref="O2" xr:uid="{E0DC5B24-7499-4CA0-B9B6-BBF5FA838C47}">
      <formula1>"7,8,9,10,11,12,13,14,15,16,17,18"</formula1>
    </dataValidation>
    <dataValidation type="whole" allowBlank="1" showInputMessage="1" showErrorMessage="1" error="Max Manipulator Size = Chassis Size +2_x000a_Min Manipulator Size = 0_x000a_Whole Numbers Only" sqref="B19:B26" xr:uid="{6183F32B-51AD-4134-B37E-97F809FDF8F9}">
      <formula1>0</formula1>
      <formula2>$B$4+2</formula2>
    </dataValidation>
    <dataValidation type="list" allowBlank="1" showInputMessage="1" showErrorMessage="1" sqref="B27:B28 B67 B8" xr:uid="{FC8450A9-D5AC-4516-8E04-BEC1370667EC}">
      <formula1>"TRUE,FALSE"</formula1>
    </dataValidation>
    <dataValidation type="list" allowBlank="1" showInputMessage="1" showErrorMessage="1" sqref="B13" xr:uid="{965CDC3D-4FA8-40D4-AAC0-C22D8D17915D}">
      <formula1>"0,1,2,3,4"</formula1>
    </dataValidation>
    <dataValidation type="list" allowBlank="1" showInputMessage="1" showErrorMessage="1" sqref="B66 D73:D90" xr:uid="{FD72119C-A0B2-48A4-8240-5561657FCA1A}">
      <formula1>"0,1,2,3"</formula1>
    </dataValidation>
    <dataValidation type="list" allowBlank="1" showInputMessage="1" showErrorMessage="1" sqref="B15" xr:uid="{9B296F75-F583-4C72-9FE8-EF57812E13AE}">
      <formula1>"FALSE,TRUE"</formula1>
    </dataValidation>
    <dataValidation type="list" allowBlank="1" showInputMessage="1" showErrorMessage="1" sqref="B16" xr:uid="{0F9AC2C2-9D83-4544-B4B7-20DA94289E84}">
      <formula1>"No,1X,2X,3X"</formula1>
    </dataValidation>
    <dataValidation type="whole" allowBlank="1" showInputMessage="1" showErrorMessage="1" error="Must be whole number between -6 and +12" sqref="B14" xr:uid="{E1C84A09-AF9C-4140-B8E5-381A328C0322}">
      <formula1>-6</formula1>
      <formula2>12</formula2>
    </dataValidation>
    <dataValidation type="whole" allowBlank="1" showInputMessage="1" showErrorMessage="1" sqref="C11:D11" xr:uid="{89BB1F97-D55E-4543-A9D5-E0A232618DBC}">
      <formula1>0</formula1>
      <formula2>D4/2</formula2>
    </dataValidation>
    <dataValidation type="whole" allowBlank="1" showInputMessage="1" showErrorMessage="1" sqref="C13:D13" xr:uid="{DA2A111B-A6AB-4F8B-A263-43946C0FA98A}">
      <formula1>0</formula1>
      <formula2>D5/2</formula2>
    </dataValidation>
    <dataValidation type="whole" allowBlank="1" showInputMessage="1" showErrorMessage="1" sqref="C14:D14" xr:uid="{C91082BF-CFD4-4905-874C-BD5CB2B3AFA4}">
      <formula1>0</formula1>
      <formula2>D15/2</formula2>
    </dataValidation>
    <dataValidation type="whole" allowBlank="1" showInputMessage="1" showErrorMessage="1" sqref="E13:E14" xr:uid="{CB547620-A5CA-486C-9ACD-8A354D3B3F3B}">
      <formula1>0</formula1>
      <formula2>#REF!/2</formula2>
    </dataValidation>
    <dataValidation type="whole" allowBlank="1" showInputMessage="1" showErrorMessage="1" error="Max STR = Lesser of Size + TL or SIZE X 4" sqref="G19:G28" xr:uid="{E0507E16-4A21-4FDB-A032-A061F6D787FD}">
      <formula1>0</formula1>
      <formula2>F19-C19</formula2>
    </dataValidation>
    <dataValidation type="whole" allowBlank="1" showInputMessage="1" showErrorMessage="1" error="Max DEX = TL+3" sqref="K19:K28" xr:uid="{3AFFFFE1-2674-4A61-9269-5B9D1CEBC0BE}">
      <formula1>0</formula1>
      <formula2>J19-D19</formula2>
    </dataValidation>
    <dataValidation type="whole" allowBlank="1" showInputMessage="1" showErrorMessage="1" error="Total Armour cannot exceed Maximum" sqref="B7" xr:uid="{8EE01978-5563-46A0-B10D-00A9A1717722}">
      <formula1>-1</formula1>
      <formula2>L7-MID(A7,18,1)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6CB223EF-5AE6-4229-AEB2-570D8A8AC7E9}">
          <x14:formula1>
            <xm:f>Brains!$B$3:$B$19</xm:f>
          </x14:formula1>
          <xm:sqref>B64</xm:sqref>
        </x14:dataValidation>
        <x14:dataValidation type="list" allowBlank="1" showInputMessage="1" showErrorMessage="1" xr:uid="{7F03C4E8-8286-4F1F-9CDF-C07BD045DAA9}">
          <x14:formula1>
            <xm:f>Brains!$K$3:$K$16</xm:f>
          </x14:formula1>
          <xm:sqref>B65</xm:sqref>
        </x14:dataValidation>
        <x14:dataValidation type="list" allowBlank="1" showInputMessage="1" showErrorMessage="1" xr:uid="{830D045C-4D6A-4B57-B463-AF9AB4D5E6F4}">
          <x14:formula1>
            <xm:f>Packages!$B$29:$B$68</xm:f>
          </x14:formula1>
          <xm:sqref>A73:A90</xm:sqref>
        </x14:dataValidation>
        <x14:dataValidation type="list" allowBlank="1" showInputMessage="1" showErrorMessage="1" xr:uid="{8D368A1D-BC56-4CBD-AAFF-15E773F8E979}">
          <x14:formula1>
            <xm:f>Options!$C$9:$C$251</xm:f>
          </x14:formula1>
          <xm:sqref>A36:A56</xm:sqref>
        </x14:dataValidation>
        <x14:dataValidation type="list" allowBlank="1" showInputMessage="1" showErrorMessage="1" xr:uid="{8D9F667E-2EFA-4FA5-84AA-4E250972612F}">
          <x14:formula1>
            <xm:f>Options!$C$9:$C$71</xm:f>
          </x14:formula1>
          <xm:sqref>A30:A34</xm:sqref>
        </x14:dataValidation>
        <x14:dataValidation type="list" allowBlank="1" showInputMessage="1" showErrorMessage="1" xr:uid="{B7F65B9E-F75E-45AC-A86C-2CAA99875061}">
          <x14:formula1>
            <xm:f>Chassis!$H$3:$H$13</xm:f>
          </x14:formula1>
          <xm:sqref>B17 B5</xm:sqref>
        </x14:dataValidation>
        <x14:dataValidation type="list" allowBlank="1" showInputMessage="1" showErrorMessage="1" xr:uid="{7D32BDAE-1C61-4EF7-A4D1-44A85805304A}">
          <x14:formula1>
            <xm:f>Packages!$B$11:$B$19</xm:f>
          </x14:formula1>
          <xm:sqref>B70</xm:sqref>
        </x14:dataValidation>
        <x14:dataValidation type="list" allowBlank="1" showInputMessage="1" showErrorMessage="1" xr:uid="{67399971-CE76-4F35-B6C2-F9B6C2DA3DF7}">
          <x14:formula1>
            <xm:f>Packages!$B$3:$B$7</xm:f>
          </x14:formula1>
          <xm:sqref>B69</xm:sqref>
        </x14:dataValidation>
        <x14:dataValidation type="list" allowBlank="1" showInputMessage="1" showErrorMessage="1" xr:uid="{40528ED8-4CBE-4FC1-B371-19D4F1D63A53}">
          <x14:formula1>
            <xm:f>Packages!$B$23:$B$25</xm:f>
          </x14:formula1>
          <xm:sqref>B71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03F6-58C2-466B-8803-83E5054BA1A1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832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161400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5</v>
      </c>
      <c r="E4" s="114">
        <f>_xlfn.XLOOKUP(B4,Size[Size],Size[Base Slots],,,)</f>
        <v>16</v>
      </c>
      <c r="F4" s="37">
        <f>B4+O2</f>
        <v>20</v>
      </c>
      <c r="G4" s="168" t="s">
        <v>299</v>
      </c>
      <c r="H4" s="168"/>
      <c r="I4" s="169"/>
      <c r="J4" s="108">
        <f>_xlfn.XLOOKUP(B4,Size[Size],Size[Base hits],,,)</f>
        <v>20</v>
      </c>
      <c r="K4" s="170" t="s">
        <v>727</v>
      </c>
      <c r="L4" s="171"/>
      <c r="M4" s="52">
        <f>_xlfn.XLOOKUP(B4,Size[Size],Size[Basic Cost],,,)</f>
        <v>1000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/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10000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Enhanced Steward Droid</v>
      </c>
      <c r="S6" s="143">
        <f>M11</f>
        <v>20</v>
      </c>
      <c r="T6" s="143" t="str">
        <f>B5</f>
        <v>Walker</v>
      </c>
      <c r="U6" s="143" t="str">
        <f>_xlfn.CONCAT(J14," m")</f>
        <v>5 m</v>
      </c>
      <c r="V6" s="144">
        <f>O2</f>
        <v>15</v>
      </c>
      <c r="W6" s="147">
        <f>P91</f>
        <v>179350</v>
      </c>
      <c r="X6" s="151">
        <f>IF(I2="Standard Design",0.1,0)</f>
        <v>0.1</v>
      </c>
      <c r="Y6" s="152">
        <v>2</v>
      </c>
      <c r="Z6" s="147">
        <f>FLOOR(P91*(1-X6),100)</f>
        <v>161400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Athletics (strength) 1, Athletics (strength) 1, Carouse 3, Persuade 2, Steward 3,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144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-2</v>
      </c>
      <c r="F9" s="37"/>
      <c r="G9" s="179" t="s">
        <v>302</v>
      </c>
      <c r="H9" s="179"/>
      <c r="I9" s="180"/>
      <c r="J9" s="51">
        <f>J8*(1+B9)</f>
        <v>288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1000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9 DEX 9)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20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288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(idle), Heightened Senses,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Very 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288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(improved), Visual Spectrum Sensor, Voder Speaker, Wireless Data Link, Autobar (enhanced), Autochef (enhanced), Olfactory Sensor (improved), Quick Charger, Storage Compartment (refrigerated), Storage Compartment (standard), Vacuum Environment Protection, 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5</v>
      </c>
      <c r="C19" s="60">
        <f t="shared" ref="C19:C26" si="0">IF(B19=0,0,B19*2-1)</f>
        <v>9</v>
      </c>
      <c r="D19" s="95">
        <f>ROUNDUP($O$2/2+1,0)</f>
        <v>9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18</v>
      </c>
      <c r="G19" s="16"/>
      <c r="H19" s="60">
        <f t="shared" ref="H19:H28" si="2">C19+G19</f>
        <v>9</v>
      </c>
      <c r="I19" s="61">
        <f t="shared" ref="I19:I28" si="3">IF(H19&gt;17,4,IF(H19&gt;14,3,IF(H19&gt;11,2,IF(H19&gt;8,1,IF(H19&gt;5,0,IF(H19&gt;2,-1,-2))))))</f>
        <v>1</v>
      </c>
      <c r="J19" s="53">
        <f t="shared" ref="J19:J28" si="4">$O$2+3</f>
        <v>18</v>
      </c>
      <c r="K19" s="16"/>
      <c r="L19" s="60">
        <f t="shared" ref="L19:L28" si="5">D19+K19</f>
        <v>9</v>
      </c>
      <c r="M19" s="61">
        <f>IF(L19&gt;20,5,IF(L19&gt;17,4,IF(L19&gt;14,3,IF(L19&gt;11,2,IF(L19&gt;8,1,IF(L19&gt;5,0,IF(L19&gt;2,-1,-2)))))))</f>
        <v>1</v>
      </c>
      <c r="O19" s="12" t="str">
        <f>IF(I19&gt;0,_xlfn.CONCAT("Athletics (strength) ",I19,", "),"")</f>
        <v xml:space="preserve">Athletics (strength) 1, </v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5</v>
      </c>
      <c r="C20" s="6">
        <f t="shared" si="0"/>
        <v>9</v>
      </c>
      <c r="D20" s="96">
        <f t="shared" ref="D20:D26" si="6">IF(B20=0,0,ROUNDUP($O$2/2+1,0))</f>
        <v>9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18</v>
      </c>
      <c r="G20" s="16"/>
      <c r="H20" s="6">
        <f t="shared" si="2"/>
        <v>9</v>
      </c>
      <c r="I20" s="21">
        <f t="shared" si="3"/>
        <v>1</v>
      </c>
      <c r="J20" s="53">
        <f t="shared" si="4"/>
        <v>18</v>
      </c>
      <c r="K20" s="16"/>
      <c r="L20" s="6">
        <f t="shared" si="5"/>
        <v>9</v>
      </c>
      <c r="M20" s="61">
        <f t="shared" ref="M20:M28" si="7">IF(L20&gt;20,5,IF(L20&gt;17,4,IF(L20&gt;14,3,IF(L20&gt;11,2,IF(L20&gt;8,1,IF(L20&gt;5,0,IF(L20&gt;2,-1,-2)))))))</f>
        <v>1</v>
      </c>
      <c r="O20" s="12" t="str">
        <f t="shared" ref="O20:O28" si="8">IF(I20&gt;0,_xlfn.CONCAT("Athletics (strength) ",I20,", "),"")</f>
        <v xml:space="preserve">Athletics (strength) 1, </v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464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8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194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-2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>2 max skill</v>
      </c>
      <c r="I36" s="194"/>
      <c r="J36" s="194"/>
      <c r="K36" s="43">
        <f>_xlfn.XLOOKUP(A36,OptionsTable[Name],OptionsTable[TL],,,)</f>
        <v>10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2000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198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-3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2 max skill</v>
      </c>
      <c r="I37" s="194"/>
      <c r="J37" s="194"/>
      <c r="K37" s="43">
        <f>_xlfn.XLOOKUP(A37,OptionsTable[Name],OptionsTable[TL],,,)</f>
        <v>11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5000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215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0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/>
      </c>
      <c r="I38" s="194"/>
      <c r="J38" s="194"/>
      <c r="K38" s="43">
        <f>_xlfn.XLOOKUP(A38,OptionsTable[Name],OptionsTable[TL],,,)</f>
        <v>10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 xml:space="preserve">Heightened Senses, </v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3500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641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-1</v>
      </c>
      <c r="F39" s="37">
        <f>IF(_xlfn.XLOOKUP(A39,OptionsTable[Name],OptionsTable[xS],,,)=FALSE,1,IF($B$4&gt;0,$E$4,1))</f>
        <v>1</v>
      </c>
      <c r="G39" s="57"/>
      <c r="H39" s="193" t="str">
        <f>IF(_xlfn.XLOOKUP(A39,OptionsTable[Name],OptionsTable[Notes],,,)="","",_xlfn.XLOOKUP(A39,OptionsTable[Name],OptionsTable[Notes],,,))</f>
        <v>1 hour recharge</v>
      </c>
      <c r="I39" s="194"/>
      <c r="J39" s="194"/>
      <c r="K39" s="43">
        <f>_xlfn.XLOOKUP(A39,OptionsTable[Name],OptionsTable[TL],,,)</f>
        <v>8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200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190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-4</v>
      </c>
      <c r="F40" s="37">
        <f>IF(_xlfn.XLOOKUP(A40,OptionsTable[Name],OptionsTable[xS],,,)=FALSE,1,IF($B$4&gt;0,$E$4,1))</f>
        <v>1</v>
      </c>
      <c r="G40" s="57">
        <v>4</v>
      </c>
      <c r="H40" s="193" t="str">
        <f>IF(_xlfn.XLOOKUP(A40,OptionsTable[Name],OptionsTable[Notes],,,)="","",_xlfn.XLOOKUP(A40,OptionsTable[Name],OptionsTable[Notes],,,))</f>
        <v>2 kg or litres / slot</v>
      </c>
      <c r="I40" s="194"/>
      <c r="J40" s="194"/>
      <c r="K40" s="43">
        <f>_xlfn.XLOOKUP(A40,OptionsTable[Name],OptionsTable[TL],,,)</f>
        <v>6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400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 t="s">
        <v>471</v>
      </c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-3</v>
      </c>
      <c r="F41" s="37">
        <f>IF(_xlfn.XLOOKUP(A41,OptionsTable[Name],OptionsTable[xS],,,)=FALSE,1,IF($B$4&gt;0,$E$4,1))</f>
        <v>1</v>
      </c>
      <c r="G41" s="57">
        <v>3</v>
      </c>
      <c r="H41" s="193" t="str">
        <f>IF(_xlfn.XLOOKUP(A41,OptionsTable[Name],OptionsTable[Notes],,,)="","",_xlfn.XLOOKUP(A41,OptionsTable[Name],OptionsTable[Notes],,,))</f>
        <v>2 kg or litres / slot</v>
      </c>
      <c r="I41" s="194"/>
      <c r="J41" s="194"/>
      <c r="K41" s="43">
        <f>_xlfn.XLOOKUP(A41,OptionsTable[Name],OptionsTable[TL],,,)</f>
        <v>6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150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 t="s">
        <v>100</v>
      </c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16</v>
      </c>
      <c r="G42" s="57"/>
      <c r="H42" s="193" t="str">
        <f>IF(_xlfn.XLOOKUP(A42,OptionsTable[Name],OptionsTable[Notes],,,)="","",_xlfn.XLOOKUP(A42,OptionsTable[Name],OptionsTable[Notes],,,))</f>
        <v>+ Hostile env</v>
      </c>
      <c r="I42" s="194"/>
      <c r="J42" s="194"/>
      <c r="K42" s="43">
        <f>_xlfn.XLOOKUP(A42,OptionsTable[Name],OptionsTable[TL],,,)</f>
        <v>6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9600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81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9</v>
      </c>
      <c r="I64" s="31">
        <f>IF(H64&gt;17,4,IF(H64&gt;14,3,IF(H64&gt;11,2,IF(H64&gt;8,1,IF(H64&gt;5,0,IF(H64&gt;2,-1,-2))))))</f>
        <v>1</v>
      </c>
      <c r="J64" s="1">
        <f>_xlfn.XLOOKUP(B64,Brains[Programming/Control],Brains[Computer/X],,,)</f>
        <v>3</v>
      </c>
      <c r="K64" s="43">
        <f>_xlfn.XLOOKUP(B64,Brains[Programming/Control],Brains[TL],,,)</f>
        <v>12</v>
      </c>
      <c r="L64">
        <f>_xlfn.XLOOKUP(B64,Brains[Programming/Control],Brains[Computer/X],,,)</f>
        <v>3</v>
      </c>
      <c r="M64" s="12" t="str">
        <f>_xlfn.XLOOKUP(B64,Brains[Programming/Control],Brains[Base capability (built-in no bandwidth, cumulative)],,,)</f>
        <v>Intellect Interface, Expert/2, Security/2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62500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159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12</v>
      </c>
      <c r="L65">
        <f>_xlfn.XLOOKUP(B65,Bandwidth[Minimum Base Brain],Bandwidth[Bandwidth],,,)+L64</f>
        <v>7</v>
      </c>
      <c r="M65" t="s">
        <v>310</v>
      </c>
      <c r="P65" s="136">
        <f>_xlfn.XLOOKUP(B65,Bandwidth[Minimum Base Brain],Bandwidth[Cost],,,)</f>
        <v>20000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7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3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122</v>
      </c>
      <c r="B73" s="225"/>
      <c r="C73" s="226"/>
      <c r="D73" s="57">
        <v>2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3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13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Carouse 3,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50000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134</v>
      </c>
      <c r="B74" s="193"/>
      <c r="C74" s="227"/>
      <c r="D74" s="57">
        <v>1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2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12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Persuade 2,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5000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144</v>
      </c>
      <c r="B75" s="193"/>
      <c r="C75" s="227"/>
      <c r="D75" s="57">
        <v>2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2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10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Steward 3,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10000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179350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161400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3">
    <sortCondition ref="A36:A43"/>
  </sortState>
  <dataConsolidate/>
  <mergeCells count="114">
    <mergeCell ref="B90:C90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1:D71"/>
    <mergeCell ref="B73:C73"/>
    <mergeCell ref="B74:C74"/>
    <mergeCell ref="B75:C75"/>
    <mergeCell ref="B76:C76"/>
    <mergeCell ref="B77:C77"/>
    <mergeCell ref="A61:D61"/>
    <mergeCell ref="H61:I61"/>
    <mergeCell ref="B64:D64"/>
    <mergeCell ref="B65:D65"/>
    <mergeCell ref="B69:D69"/>
    <mergeCell ref="B70:D70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A37:D37"/>
    <mergeCell ref="H37:J37"/>
    <mergeCell ref="A38:D38"/>
    <mergeCell ref="H38:J38"/>
    <mergeCell ref="A45:D45"/>
    <mergeCell ref="H45:J45"/>
    <mergeCell ref="A46:D46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H32:J32"/>
    <mergeCell ref="A33:D33"/>
    <mergeCell ref="H33:J33"/>
    <mergeCell ref="A34:D34"/>
    <mergeCell ref="H34:J34"/>
    <mergeCell ref="H35:J35"/>
    <mergeCell ref="R14:R18"/>
    <mergeCell ref="S14:Z18"/>
    <mergeCell ref="R21:Z76"/>
    <mergeCell ref="B29:D29"/>
    <mergeCell ref="H29:J29"/>
    <mergeCell ref="A30:D30"/>
    <mergeCell ref="H30:J30"/>
    <mergeCell ref="A31:D31"/>
    <mergeCell ref="H31:J31"/>
    <mergeCell ref="A32:D32"/>
    <mergeCell ref="A39:D39"/>
    <mergeCell ref="H39:J39"/>
    <mergeCell ref="A40:D40"/>
    <mergeCell ref="H40:J40"/>
    <mergeCell ref="A41:D41"/>
    <mergeCell ref="H41:J41"/>
    <mergeCell ref="A36:D36"/>
    <mergeCell ref="H36:J36"/>
    <mergeCell ref="G11:H11"/>
    <mergeCell ref="K11:L11"/>
    <mergeCell ref="S11:Z11"/>
    <mergeCell ref="G12:O12"/>
    <mergeCell ref="S12:Z12"/>
    <mergeCell ref="S13:Z13"/>
    <mergeCell ref="G9:I9"/>
    <mergeCell ref="K9:M9"/>
    <mergeCell ref="S9:Z9"/>
    <mergeCell ref="G10:H10"/>
    <mergeCell ref="K10:M10"/>
    <mergeCell ref="S10:Z10"/>
    <mergeCell ref="S7:Z8"/>
    <mergeCell ref="R7:R8"/>
    <mergeCell ref="G5:I5"/>
    <mergeCell ref="H6:N6"/>
    <mergeCell ref="G7:I7"/>
    <mergeCell ref="G8:I8"/>
    <mergeCell ref="K8:M8"/>
    <mergeCell ref="B2:D2"/>
    <mergeCell ref="F2:H2"/>
    <mergeCell ref="I2:M2"/>
    <mergeCell ref="G3:J3"/>
    <mergeCell ref="G4:I4"/>
    <mergeCell ref="K4:L4"/>
  </mergeCells>
  <conditionalFormatting sqref="B14">
    <cfRule type="expression" dxfId="23" priority="6">
      <formula>ABS($J$14-6) &gt; 6</formula>
    </cfRule>
  </conditionalFormatting>
  <conditionalFormatting sqref="E2">
    <cfRule type="expression" dxfId="22" priority="4">
      <formula>$E$2&lt;0</formula>
    </cfRule>
  </conditionalFormatting>
  <conditionalFormatting sqref="E15:E17">
    <cfRule type="expression" dxfId="21" priority="1">
      <formula>AND($B$4=0,E15&lt;0)</formula>
    </cfRule>
  </conditionalFormatting>
  <conditionalFormatting sqref="K5 K30:K34 K36:K57 K59:K61 K64:K67 K73:K90">
    <cfRule type="expression" dxfId="20" priority="5">
      <formula>K5&gt;$O$2</formula>
    </cfRule>
  </conditionalFormatting>
  <conditionalFormatting sqref="L57">
    <cfRule type="expression" dxfId="19" priority="2">
      <formula>L57&gt;$O$2</formula>
    </cfRule>
  </conditionalFormatting>
  <conditionalFormatting sqref="L67">
    <cfRule type="expression" dxfId="18" priority="3">
      <formula>L67&lt;0</formula>
    </cfRule>
  </conditionalFormatting>
  <dataValidations count="20">
    <dataValidation type="whole" allowBlank="1" showInputMessage="1" showErrorMessage="1" error="Total Armour cannot exceed Maximum" sqref="B7" xr:uid="{FB1189F2-592B-468A-920A-D0F2C5C539AF}">
      <formula1>-1</formula1>
      <formula2>L7-MID(A7,18,1)</formula2>
    </dataValidation>
    <dataValidation type="whole" allowBlank="1" showInputMessage="1" showErrorMessage="1" error="Max DEX = TL+3" sqref="K19:K28" xr:uid="{8E09AB8B-F208-4613-A90E-46691D42A37A}">
      <formula1>0</formula1>
      <formula2>J19-D19</formula2>
    </dataValidation>
    <dataValidation type="whole" allowBlank="1" showInputMessage="1" showErrorMessage="1" error="Max STR = Lesser of Size + TL or SIZE X 4" sqref="G19:G28" xr:uid="{12D37EED-2E3A-44C7-88F2-78B75938E9DD}">
      <formula1>0</formula1>
      <formula2>F19-C19</formula2>
    </dataValidation>
    <dataValidation type="whole" allowBlank="1" showInputMessage="1" showErrorMessage="1" sqref="E13:E14" xr:uid="{C067A6A0-386B-4C26-9173-1A937DF97944}">
      <formula1>0</formula1>
      <formula2>#REF!/2</formula2>
    </dataValidation>
    <dataValidation type="whole" allowBlank="1" showInputMessage="1" showErrorMessage="1" sqref="C14:D14" xr:uid="{8A3F4680-5F48-44CB-AE7A-0904BB58BE79}">
      <formula1>0</formula1>
      <formula2>D15/2</formula2>
    </dataValidation>
    <dataValidation type="whole" allowBlank="1" showInputMessage="1" showErrorMessage="1" sqref="C13:D13" xr:uid="{250D7F24-40C1-4983-BE31-6A6A4DC4726B}">
      <formula1>0</formula1>
      <formula2>D5/2</formula2>
    </dataValidation>
    <dataValidation type="whole" allowBlank="1" showInputMessage="1" showErrorMessage="1" sqref="C11:D11" xr:uid="{B1D0B38A-93F0-4D1F-8397-0F2E69A693EA}">
      <formula1>0</formula1>
      <formula2>D4/2</formula2>
    </dataValidation>
    <dataValidation type="whole" allowBlank="1" showInputMessage="1" showErrorMessage="1" error="Must be whole number between -6 and +12" sqref="B14" xr:uid="{0B8B003E-5C6D-41D1-8CE5-B5DA20A725C1}">
      <formula1>-6</formula1>
      <formula2>12</formula2>
    </dataValidation>
    <dataValidation type="list" allowBlank="1" showInputMessage="1" showErrorMessage="1" sqref="B16" xr:uid="{46A7824C-9222-46C6-AE4B-2A12E60590A1}">
      <formula1>"No,1X,2X,3X"</formula1>
    </dataValidation>
    <dataValidation type="list" allowBlank="1" showInputMessage="1" showErrorMessage="1" sqref="B15" xr:uid="{8F3AB882-5AD4-4C64-9FFC-E5B830C8B801}">
      <formula1>"FALSE,TRUE"</formula1>
    </dataValidation>
    <dataValidation type="list" allowBlank="1" showInputMessage="1" showErrorMessage="1" sqref="B66 D73:D90" xr:uid="{8F7BE2CF-B2BA-4EAB-8836-8694FE9A964B}">
      <formula1>"0,1,2,3"</formula1>
    </dataValidation>
    <dataValidation type="list" allowBlank="1" showInputMessage="1" showErrorMessage="1" sqref="B13" xr:uid="{D2901B82-0263-4CB3-B713-8957FE9D81C7}">
      <formula1>"0,1,2,3,4"</formula1>
    </dataValidation>
    <dataValidation type="list" allowBlank="1" showInputMessage="1" showErrorMessage="1" sqref="B27:B28 B67 B8" xr:uid="{9957CD85-EC6F-4D56-815F-38E6525B6F76}">
      <formula1>"TRUE,FALSE"</formula1>
    </dataValidation>
    <dataValidation type="whole" allowBlank="1" showInputMessage="1" showErrorMessage="1" error="Max Manipulator Size = Chassis Size +2_x000a_Min Manipulator Size = 0_x000a_Whole Numbers Only" sqref="B19:B26" xr:uid="{38F39828-83BF-4F05-9353-C36A9D1DD989}">
      <formula1>0</formula1>
      <formula2>$B$4+2</formula2>
    </dataValidation>
    <dataValidation type="list" allowBlank="1" showInputMessage="1" showErrorMessage="1" sqref="O2" xr:uid="{0A364308-59D3-45E1-BA8F-D60FB47E4F8B}">
      <formula1>"7,8,9,10,11,12,13,14,15,16,17,18"</formula1>
    </dataValidation>
    <dataValidation type="list" allowBlank="1" showInputMessage="1" showErrorMessage="1" sqref="B4" xr:uid="{F05C80A7-9E1E-4CFA-BF44-23B962E6C881}">
      <formula1>"0,1,2,3,4,5,6,7,8"</formula1>
    </dataValidation>
    <dataValidation type="list" allowBlank="1" showInputMessage="1" showErrorMessage="1" error="Maximum = 3" sqref="B9" xr:uid="{51646BD5-10F2-4A58-95D9-FB28AECDF4AC}">
      <formula1>"0,1,2,3"</formula1>
    </dataValidation>
    <dataValidation type="whole" allowBlank="1" showInputMessage="1" showErrorMessage="1" sqref="E11" xr:uid="{80D02EF0-996E-44F3-86DF-F18B78AC1E06}">
      <formula1>0</formula1>
      <formula2>J4/2</formula2>
    </dataValidation>
    <dataValidation type="whole" allowBlank="1" showInputMessage="1" showErrorMessage="1" error="Must be whole number. No more than 50% of slots may be used for Resiliency" sqref="B10" xr:uid="{60687FCD-01B2-4B30-9790-283D5937FBCD}">
      <formula1>0</formula1>
      <formula2>E4/2</formula2>
    </dataValidation>
    <dataValidation type="whole" allowBlank="1" showInputMessage="1" showErrorMessage="1" error="Must be a negative number no less than a 50% of the base hits" sqref="B11" xr:uid="{04E7C7F3-DBC4-4B18-B290-D3AE8B123357}">
      <formula1>-J4/2</formula1>
      <formula2>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31809604-CE4C-4D3D-85B2-A8F407B1F033}">
          <x14:formula1>
            <xm:f>Packages!$B$23:$B$25</xm:f>
          </x14:formula1>
          <xm:sqref>B71</xm:sqref>
        </x14:dataValidation>
        <x14:dataValidation type="list" allowBlank="1" showInputMessage="1" showErrorMessage="1" xr:uid="{B1E8A3C1-355A-4505-A938-4C03836B34C7}">
          <x14:formula1>
            <xm:f>Packages!$B$3:$B$7</xm:f>
          </x14:formula1>
          <xm:sqref>B69</xm:sqref>
        </x14:dataValidation>
        <x14:dataValidation type="list" allowBlank="1" showInputMessage="1" showErrorMessage="1" xr:uid="{670F23F2-2AAD-42C8-A9C8-FEA5DBF7F9E3}">
          <x14:formula1>
            <xm:f>Packages!$B$11:$B$19</xm:f>
          </x14:formula1>
          <xm:sqref>B70</xm:sqref>
        </x14:dataValidation>
        <x14:dataValidation type="list" allowBlank="1" showInputMessage="1" showErrorMessage="1" xr:uid="{211E2E79-1E68-4AE3-8CDD-72CFB9F1585E}">
          <x14:formula1>
            <xm:f>Chassis!$H$3:$H$13</xm:f>
          </x14:formula1>
          <xm:sqref>B17 B5</xm:sqref>
        </x14:dataValidation>
        <x14:dataValidation type="list" allowBlank="1" showInputMessage="1" showErrorMessage="1" xr:uid="{016A1AEA-D2DB-47E6-B28E-0948CBE7CDDF}">
          <x14:formula1>
            <xm:f>Options!$C$9:$C$71</xm:f>
          </x14:formula1>
          <xm:sqref>A30:A34</xm:sqref>
        </x14:dataValidation>
        <x14:dataValidation type="list" allowBlank="1" showInputMessage="1" showErrorMessage="1" xr:uid="{747B9452-7A5E-41E3-B8D8-81F5D94EF623}">
          <x14:formula1>
            <xm:f>Options!$C$9:$C$251</xm:f>
          </x14:formula1>
          <xm:sqref>A36:A56</xm:sqref>
        </x14:dataValidation>
        <x14:dataValidation type="list" allowBlank="1" showInputMessage="1" showErrorMessage="1" xr:uid="{C4A5767C-200A-41E6-BAD3-5DA67A70F905}">
          <x14:formula1>
            <xm:f>Packages!$B$29:$B$68</xm:f>
          </x14:formula1>
          <xm:sqref>A73:A90</xm:sqref>
        </x14:dataValidation>
        <x14:dataValidation type="list" allowBlank="1" showInputMessage="1" showErrorMessage="1" xr:uid="{86279D18-9157-48F2-9C2E-9ADAD891BFE2}">
          <x14:formula1>
            <xm:f>Brains!$K$3:$K$16</xm:f>
          </x14:formula1>
          <xm:sqref>B65</xm:sqref>
        </x14:dataValidation>
        <x14:dataValidation type="list" allowBlank="1" showInputMessage="1" showErrorMessage="1" xr:uid="{EFE67422-C935-4902-AFC8-98607D29CC32}">
          <x14:formula1>
            <xm:f>Brains!$B$3:$B$19</xm:f>
          </x14:formula1>
          <xm:sqref>B64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5A452-9EA1-4D9A-B742-F1CE5E2B008F}">
  <sheetPr>
    <tabColor rgb="FF92D050"/>
  </sheetPr>
  <dimension ref="A1:Z110"/>
  <sheetViews>
    <sheetView workbookViewId="0">
      <pane ySplit="3" topLeftCell="A4" activePane="bottomLeft" state="frozen"/>
      <selection pane="bottomLeft" activeCell="B2" sqref="B2:D2"/>
    </sheetView>
  </sheetViews>
  <sheetFormatPr defaultRowHeight="12" customHeight="1" x14ac:dyDescent="0.35"/>
  <cols>
    <col min="1" max="1" width="28.75" customWidth="1"/>
    <col min="2" max="2" width="17.4140625" customWidth="1"/>
    <col min="3" max="3" width="7.33203125" customWidth="1"/>
    <col min="4" max="5" width="6.75" customWidth="1"/>
    <col min="6" max="6" width="4" bestFit="1" customWidth="1"/>
    <col min="7" max="7" width="4.75" customWidth="1"/>
    <col min="8" max="11" width="5.75" customWidth="1"/>
    <col min="12" max="12" width="5.75" style="1" customWidth="1"/>
    <col min="13" max="13" width="5.75" customWidth="1"/>
    <col min="14" max="14" width="21.6640625" customWidth="1"/>
    <col min="15" max="15" width="29.4140625" bestFit="1" customWidth="1"/>
    <col min="16" max="16" width="11.6640625" style="133" customWidth="1"/>
    <col min="17" max="17" width="1.75" customWidth="1"/>
    <col min="18" max="18" width="33.33203125" customWidth="1"/>
    <col min="19" max="19" width="9.33203125" customWidth="1"/>
    <col min="20" max="20" width="12.83203125" customWidth="1"/>
    <col min="21" max="22" width="9.33203125" customWidth="1"/>
    <col min="23" max="23" width="23.33203125" customWidth="1"/>
    <col min="24" max="24" width="12.5" customWidth="1"/>
    <col min="25" max="25" width="10.4140625" customWidth="1"/>
    <col min="26" max="26" width="17.9140625" customWidth="1"/>
  </cols>
  <sheetData>
    <row r="1" spans="1:26" ht="12" customHeight="1" thickBot="1" x14ac:dyDescent="0.4">
      <c r="A1" s="7" t="s">
        <v>36</v>
      </c>
      <c r="O1" s="11" t="s">
        <v>797</v>
      </c>
      <c r="P1" s="149">
        <v>1.51</v>
      </c>
    </row>
    <row r="2" spans="1:26" ht="12" customHeight="1" thickBot="1" x14ac:dyDescent="0.4">
      <c r="A2" s="63" t="s">
        <v>37</v>
      </c>
      <c r="B2" s="238" t="s">
        <v>833</v>
      </c>
      <c r="C2" s="160"/>
      <c r="D2" s="161"/>
      <c r="E2" s="36">
        <f>SUM(E5:E90)+E4</f>
        <v>0</v>
      </c>
      <c r="F2" s="162" t="s">
        <v>184</v>
      </c>
      <c r="G2" s="163"/>
      <c r="H2" s="164"/>
      <c r="I2" s="159" t="s">
        <v>792</v>
      </c>
      <c r="J2" s="160"/>
      <c r="K2" s="160"/>
      <c r="L2" s="160"/>
      <c r="M2" s="160"/>
      <c r="N2" s="78" t="s">
        <v>315</v>
      </c>
      <c r="O2" s="142">
        <v>15</v>
      </c>
      <c r="P2" s="150">
        <f>Z6</f>
        <v>309900</v>
      </c>
    </row>
    <row r="3" spans="1:26" ht="12" customHeight="1" thickBot="1" x14ac:dyDescent="0.4">
      <c r="A3" s="63" t="s">
        <v>295</v>
      </c>
      <c r="B3" s="63" t="s">
        <v>296</v>
      </c>
      <c r="C3" s="63"/>
      <c r="D3" s="63"/>
      <c r="E3" s="64" t="s">
        <v>10</v>
      </c>
      <c r="F3" s="38"/>
      <c r="G3" s="165" t="s">
        <v>297</v>
      </c>
      <c r="H3" s="166"/>
      <c r="I3" s="166"/>
      <c r="J3" s="167"/>
      <c r="K3" s="76" t="s">
        <v>4</v>
      </c>
      <c r="L3" s="65"/>
      <c r="M3" s="63"/>
      <c r="N3" s="63" t="s">
        <v>25</v>
      </c>
      <c r="O3" s="63" t="s">
        <v>90</v>
      </c>
      <c r="P3" s="145" t="s">
        <v>5</v>
      </c>
    </row>
    <row r="4" spans="1:26" ht="12" customHeight="1" x14ac:dyDescent="0.35">
      <c r="A4" s="90" t="s">
        <v>180</v>
      </c>
      <c r="B4" s="35">
        <v>5</v>
      </c>
      <c r="E4" s="114">
        <f>_xlfn.XLOOKUP(B4,Size[Size],Size[Base Slots],,,)</f>
        <v>16</v>
      </c>
      <c r="F4" s="37">
        <f>B4+O2</f>
        <v>20</v>
      </c>
      <c r="G4" s="168" t="s">
        <v>299</v>
      </c>
      <c r="H4" s="168"/>
      <c r="I4" s="169"/>
      <c r="J4" s="108">
        <f>_xlfn.XLOOKUP(B4,Size[Size],Size[Base hits],,,)</f>
        <v>20</v>
      </c>
      <c r="K4" s="170" t="s">
        <v>727</v>
      </c>
      <c r="L4" s="171"/>
      <c r="M4" s="52">
        <f>_xlfn.XLOOKUP(B4,Size[Size],Size[Basic Cost],,,)</f>
        <v>1000</v>
      </c>
      <c r="N4" s="12" t="str">
        <f>IF(_xlfn.XLOOKUP(B4,Size[Size],Size[Hit DM],,,)=0,"",IF(_xlfn.XLOOKUP(B4,Size[Size],Size[Hit DM],,,)&gt;0,_xlfn.CONCAT("Large (+",_xlfn.XLOOKUP(B4,Size[Size],Size[Hit DM],,,),"), "),_xlfn.CONCAT("Small (",_xlfn.XLOOKUP(B4,Size[Size],Size[Hit DM],,,),"), ")))</f>
        <v/>
      </c>
      <c r="R4" s="7" t="s">
        <v>454</v>
      </c>
    </row>
    <row r="5" spans="1:26" ht="12" customHeight="1" thickBot="1" x14ac:dyDescent="0.4">
      <c r="A5" s="89" t="s">
        <v>38</v>
      </c>
      <c r="B5" s="28" t="s">
        <v>32</v>
      </c>
      <c r="C5" s="24"/>
      <c r="D5" s="24"/>
      <c r="E5" s="114" t="str">
        <f>IF(B5="none",ROUNDUP(E4*0.25,0),"")</f>
        <v/>
      </c>
      <c r="F5" s="38"/>
      <c r="G5" s="172" t="s">
        <v>298</v>
      </c>
      <c r="H5" s="172"/>
      <c r="I5" s="173"/>
      <c r="J5" s="103">
        <f>_xlfn.XLOOKUP(B5,Locomotion[Locomotion],Locomotion[Agility],,,)</f>
        <v>0</v>
      </c>
      <c r="K5" s="42">
        <f>_xlfn.XLOOKUP(B5,Locomotion[Locomotion],Locomotion[TL],,,)</f>
        <v>8</v>
      </c>
      <c r="L5" s="26" t="s">
        <v>311</v>
      </c>
      <c r="M5" s="20">
        <f>_xlfn.XLOOKUP(B5,Locomotion[Locomotion],Locomotion[Cost X])</f>
        <v>10</v>
      </c>
      <c r="N5" s="25" t="str">
        <f>IF(_xlfn.XLOOKUP(B5,Locomotion[Locomotion],Locomotion[Traits],,,)="","",_xlfn.XLOOKUP(B5,Locomotion[Locomotion],Locomotion[Traits],,,))</f>
        <v xml:space="preserve">ATV, </v>
      </c>
      <c r="O5" s="128" t="s">
        <v>726</v>
      </c>
      <c r="P5" s="135">
        <f>_xlfn.XLOOKUP(B4,Size[Size],Size[Basic Cost],,,)*_xlfn.XLOOKUP(B5,Locomotion[Locomotion],Locomotion[Cost X])</f>
        <v>10000</v>
      </c>
      <c r="R5" s="115" t="s">
        <v>318</v>
      </c>
      <c r="S5" s="116" t="s">
        <v>317</v>
      </c>
      <c r="T5" s="116" t="s">
        <v>23</v>
      </c>
      <c r="U5" s="116" t="s">
        <v>319</v>
      </c>
      <c r="V5" s="116" t="s">
        <v>4</v>
      </c>
      <c r="W5" s="116" t="s">
        <v>796</v>
      </c>
      <c r="X5" s="116" t="s">
        <v>790</v>
      </c>
      <c r="Y5" s="116" t="s">
        <v>791</v>
      </c>
      <c r="Z5" s="116" t="s">
        <v>789</v>
      </c>
    </row>
    <row r="6" spans="1:26" ht="12" customHeight="1" thickBot="1" x14ac:dyDescent="0.45">
      <c r="A6" s="63" t="s">
        <v>185</v>
      </c>
      <c r="B6" s="63"/>
      <c r="C6" s="63"/>
      <c r="D6" s="63"/>
      <c r="E6" s="63"/>
      <c r="F6" s="38" t="s">
        <v>92</v>
      </c>
      <c r="G6" s="63"/>
      <c r="H6" s="165"/>
      <c r="I6" s="166"/>
      <c r="J6" s="166"/>
      <c r="K6" s="166"/>
      <c r="L6" s="166"/>
      <c r="M6" s="166"/>
      <c r="N6" s="185"/>
      <c r="O6" s="63" t="s">
        <v>90</v>
      </c>
      <c r="P6" s="134" t="s">
        <v>5</v>
      </c>
      <c r="R6" s="117" t="str">
        <f>B2</f>
        <v>Advanced Steward Droid</v>
      </c>
      <c r="S6" s="143">
        <f>M11</f>
        <v>20</v>
      </c>
      <c r="T6" s="143" t="str">
        <f>B5</f>
        <v>Walker</v>
      </c>
      <c r="U6" s="143" t="str">
        <f>_xlfn.CONCAT(J14," m")</f>
        <v>5 m</v>
      </c>
      <c r="V6" s="144">
        <f>O2</f>
        <v>15</v>
      </c>
      <c r="W6" s="147">
        <f>P91</f>
        <v>344350</v>
      </c>
      <c r="X6" s="151">
        <f>IF(I2="Standard Design",0.1,0)</f>
        <v>0.1</v>
      </c>
      <c r="Y6" s="152">
        <v>2</v>
      </c>
      <c r="Z6" s="147">
        <f>FLOOR(P91*(1-X6),100)</f>
        <v>309900</v>
      </c>
    </row>
    <row r="7" spans="1:26" ht="12" customHeight="1" x14ac:dyDescent="0.35">
      <c r="A7" s="91" t="str">
        <f>IF( B4&gt;0,IF(COUNT(L36:L56)&gt;0,"Armour (Base =  +0)",_xlfn.CONCAT("Armour (Base =  +",_xlfn.XLOOKUP($O$2,Armour[TL],Armour[Base],,,),")")),_xlfn.CONCAT("Armour (Base =  +",_xlfn.XLOOKUP($O$2,Armour[TL],Armour[Base],,,)-2,")"))</f>
        <v>Armour (Base =  +4)</v>
      </c>
      <c r="B7" s="29">
        <v>0</v>
      </c>
      <c r="E7" s="114" cm="1">
        <f t="array" ref="E7">IF(ROUNDUP(_xlfn.XLOOKUP($O$2,Armour[TL],Armour[Slots]*B7*E4,,,),0)&lt;B7/F7,-ROUNDUP(B7/F7,0),-ROUNDUP(_xlfn.XLOOKUP($O$2,Armour[TL],Armour[Slots]*B7*E4,,,),0))</f>
        <v>0</v>
      </c>
      <c r="F7" s="37">
        <f>_xlfn.XLOOKUP($O$2,Armour[TL],Armour[Max/slot],,,)</f>
        <v>4</v>
      </c>
      <c r="G7" s="186" t="s">
        <v>183</v>
      </c>
      <c r="H7" s="186"/>
      <c r="I7" s="187"/>
      <c r="J7" s="33">
        <f>IF(B4&gt;0,IF(COUNT(L36:L56)&gt;0,B7,_xlfn.XLOOKUP($O$2,Armour[TL],Armour[Base],,,)+B7),_xlfn.XLOOKUP($O$2,Armour[TL],Armour[Base],,,)-2)</f>
        <v>4</v>
      </c>
      <c r="K7" s="92" t="s">
        <v>313</v>
      </c>
      <c r="L7" s="51">
        <f>_xlfn.XLOOKUP($O$2,Armour[TL],Armour[Max],,,)</f>
        <v>50</v>
      </c>
      <c r="N7" s="5" t="str">
        <f>_xlfn.CONCAT("Armour (+",IF(COUNT(L36:L56)&gt;0,0+B7, _xlfn.XLOOKUP($O$2,Armour[TL],Armour[Base],,,)+B7+IF(B4=0,-2,0)),"), ")</f>
        <v xml:space="preserve">Armour (+4), </v>
      </c>
      <c r="P7" s="136" cm="1">
        <f t="array" ref="P7">IF(B7&gt;-1,_xlfn.XLOOKUP($O$2,Armour[TL],-Armour[Cost/Slot]*E7,,,),-P5*0.1)</f>
        <v>0</v>
      </c>
      <c r="R7" s="213" t="s">
        <v>90</v>
      </c>
      <c r="S7" s="232" t="str">
        <f>_xlfn.CONCAT(O9,O13,O19:O28,O30:O34,O36:O57,O64,O69:O71,O73:O90)</f>
        <v xml:space="preserve">Athletics (endurance) 1, Athletics (strength) 1, Athletics (strength) 1, Carouse 3, Persuade 3, Steward 4, </v>
      </c>
      <c r="T7" s="233"/>
      <c r="U7" s="233"/>
      <c r="V7" s="233"/>
      <c r="W7" s="233"/>
      <c r="X7" s="233"/>
      <c r="Y7" s="233"/>
      <c r="Z7" s="234"/>
    </row>
    <row r="8" spans="1:26" ht="12" customHeight="1" x14ac:dyDescent="0.35">
      <c r="A8" s="92" t="s">
        <v>62</v>
      </c>
      <c r="B8" s="30" t="b">
        <v>0</v>
      </c>
      <c r="E8" s="39"/>
      <c r="F8" s="37"/>
      <c r="G8" s="179" t="s">
        <v>302</v>
      </c>
      <c r="H8" s="179"/>
      <c r="I8" s="180"/>
      <c r="J8" s="51">
        <f>_xlfn.XLOOKUP(B5,Locomotion[Locomotion],Locomotion[Endurance],,,)*(1+B8)*(IF(O2&lt;12,1,IF(O2&lt;15,1.5,2)))/IF(B4=0,24,1)</f>
        <v>144</v>
      </c>
      <c r="K8" s="188" t="s">
        <v>64</v>
      </c>
      <c r="L8" s="189"/>
      <c r="M8" s="190"/>
      <c r="P8" s="136">
        <f>B8*0.5*P5</f>
        <v>0</v>
      </c>
      <c r="R8" s="215"/>
      <c r="S8" s="235"/>
      <c r="T8" s="236"/>
      <c r="U8" s="236"/>
      <c r="V8" s="236"/>
      <c r="W8" s="236"/>
      <c r="X8" s="236"/>
      <c r="Y8" s="236"/>
      <c r="Z8" s="237"/>
    </row>
    <row r="9" spans="1:26" ht="12" customHeight="1" x14ac:dyDescent="0.4">
      <c r="A9" s="92" t="s">
        <v>63</v>
      </c>
      <c r="B9" s="30">
        <v>1</v>
      </c>
      <c r="E9" s="114">
        <f>IF(B4&gt;0,-ROUNDUP(0.1*E4,0)*B9,-B9)</f>
        <v>-2</v>
      </c>
      <c r="F9" s="37"/>
      <c r="G9" s="179" t="s">
        <v>302</v>
      </c>
      <c r="H9" s="179"/>
      <c r="I9" s="180"/>
      <c r="J9" s="51">
        <f>J8*(1+B9)</f>
        <v>288</v>
      </c>
      <c r="K9" s="181" t="s">
        <v>64</v>
      </c>
      <c r="L9" s="179"/>
      <c r="M9" s="180"/>
      <c r="O9" s="5" t="str">
        <f>IF(B9&gt;0,_xlfn.CONCAT("Athletics (endurance) ",B9,", "),"")</f>
        <v xml:space="preserve">Athletics (endurance) 1, </v>
      </c>
      <c r="P9" s="136">
        <f>-500*E9</f>
        <v>1000</v>
      </c>
      <c r="R9" s="115" t="s">
        <v>320</v>
      </c>
      <c r="S9" s="182" t="str">
        <f>_xlfn.CONCAT(A59," (",J59," ",N59,") ",A60," (",J60," ",N60,") ",A61," (",J61," ",N61,") ")</f>
        <v xml:space="preserve">none ( )  ( )  ( ) </v>
      </c>
      <c r="T9" s="183"/>
      <c r="U9" s="183"/>
      <c r="V9" s="183"/>
      <c r="W9" s="183"/>
      <c r="X9" s="183"/>
      <c r="Y9" s="183"/>
      <c r="Z9" s="184"/>
    </row>
    <row r="10" spans="1:26" ht="12" customHeight="1" x14ac:dyDescent="0.4">
      <c r="A10" s="92" t="s">
        <v>181</v>
      </c>
      <c r="B10" s="30">
        <v>0</v>
      </c>
      <c r="E10" s="114">
        <f>-B10</f>
        <v>0</v>
      </c>
      <c r="F10" s="37"/>
      <c r="G10" s="172" t="s">
        <v>317</v>
      </c>
      <c r="H10" s="173"/>
      <c r="I10" s="102" t="s">
        <v>316</v>
      </c>
      <c r="J10" s="33">
        <f>B10</f>
        <v>0</v>
      </c>
      <c r="K10" s="174"/>
      <c r="L10" s="175"/>
      <c r="M10" s="175"/>
      <c r="P10" s="136">
        <f>0.05*B10*P5</f>
        <v>0</v>
      </c>
      <c r="R10" s="115" t="s">
        <v>49</v>
      </c>
      <c r="S10" s="182" t="str">
        <f>IF(COUNT(B19:B26)=0,"none",_xlfn.CONCAT(COUNT(B19:B26), " X (STR ",H19," DEX ",L19,")"))</f>
        <v>2 X (STR 9 DEX 9)</v>
      </c>
      <c r="T10" s="183"/>
      <c r="U10" s="183"/>
      <c r="V10" s="183"/>
      <c r="W10" s="183"/>
      <c r="X10" s="183"/>
      <c r="Y10" s="183"/>
      <c r="Z10" s="184"/>
    </row>
    <row r="11" spans="1:26" ht="12" customHeight="1" thickBot="1" x14ac:dyDescent="0.45">
      <c r="A11" s="92" t="s">
        <v>182</v>
      </c>
      <c r="B11" s="28">
        <v>0</v>
      </c>
      <c r="C11" s="24"/>
      <c r="D11" s="24"/>
      <c r="E11" s="40"/>
      <c r="F11" s="38"/>
      <c r="G11" s="209" t="s">
        <v>317</v>
      </c>
      <c r="H11" s="210"/>
      <c r="I11" s="102" t="s">
        <v>13</v>
      </c>
      <c r="J11" s="33">
        <f>B11</f>
        <v>0</v>
      </c>
      <c r="K11" s="211" t="s">
        <v>303</v>
      </c>
      <c r="L11" s="212"/>
      <c r="M11" s="34">
        <f>J4+J10+J11</f>
        <v>20</v>
      </c>
      <c r="N11" s="24"/>
      <c r="O11" s="24"/>
      <c r="P11" s="135">
        <f>_xlfn.XLOOKUP(B5,Locomotion[Locomotion],Locomotion[Cost X])*50*B11</f>
        <v>0</v>
      </c>
      <c r="R11" s="118" t="s">
        <v>35</v>
      </c>
      <c r="S11" s="176" t="str">
        <f>IF(B15,_xlfn.CONCAT(ROUND(J9*(1-B14/10),IF(B4=0,1,0))," (",ROUND(J9*(1-B14/10)/(4+IF(B16="No",0,LEFT(B16,1))),0),")", " hours"),_xlfn.CONCAT(ROUND(J9*(1-B14/10),IF(B4=0,1,0))," hours"))</f>
        <v>288 hours</v>
      </c>
      <c r="T11" s="177"/>
      <c r="U11" s="177"/>
      <c r="V11" s="177"/>
      <c r="W11" s="177"/>
      <c r="X11" s="177"/>
      <c r="Y11" s="177"/>
      <c r="Z11" s="178"/>
    </row>
    <row r="12" spans="1:26" ht="12" customHeight="1" thickBot="1" x14ac:dyDescent="0.45">
      <c r="A12" s="63" t="s">
        <v>186</v>
      </c>
      <c r="B12" s="71"/>
      <c r="C12" s="62"/>
      <c r="D12" s="62"/>
      <c r="E12" s="64" t="s">
        <v>10</v>
      </c>
      <c r="F12" s="38"/>
      <c r="G12" s="165"/>
      <c r="H12" s="166"/>
      <c r="I12" s="166"/>
      <c r="J12" s="166"/>
      <c r="K12" s="166"/>
      <c r="L12" s="166"/>
      <c r="M12" s="166"/>
      <c r="N12" s="166"/>
      <c r="O12" s="185"/>
      <c r="P12" s="134" t="s">
        <v>5</v>
      </c>
      <c r="R12" s="118" t="s">
        <v>25</v>
      </c>
      <c r="S12" s="176" t="str">
        <f>_xlfn.CONCAT(N7,N5,N4,N15:N17,N30:N34,N36:N57,N67,N69:N70)</f>
        <v xml:space="preserve">Armour (+4), ATV, (idle), Heightened Senses, </v>
      </c>
      <c r="T12" s="177"/>
      <c r="U12" s="177"/>
      <c r="V12" s="177"/>
      <c r="W12" s="177"/>
      <c r="X12" s="177"/>
      <c r="Y12" s="177"/>
      <c r="Z12" s="178"/>
    </row>
    <row r="13" spans="1:26" ht="12" customHeight="1" x14ac:dyDescent="0.4">
      <c r="A13" s="91" t="s">
        <v>177</v>
      </c>
      <c r="B13" s="30">
        <v>0</v>
      </c>
      <c r="E13" s="39"/>
      <c r="F13" s="37"/>
      <c r="G13" s="92" t="s">
        <v>305</v>
      </c>
      <c r="H13" s="92"/>
      <c r="I13" s="92"/>
      <c r="J13" s="33">
        <f>IF(J5="-","-",J5+B13)</f>
        <v>0</v>
      </c>
      <c r="L13" s="11"/>
      <c r="O13" s="5" t="str">
        <f>IF(B13=0,"",_xlfn.CONCAT("Athletics (dexterity) ",B13,", "))</f>
        <v/>
      </c>
      <c r="P13" s="136">
        <f>IF(B13=0,0,P5*2^(B13-1))</f>
        <v>0</v>
      </c>
      <c r="R13" s="115" t="s">
        <v>321</v>
      </c>
      <c r="S13" s="182" t="str">
        <f>_xlfn.CONCAT(_xlfn.IFS(LEFT(B64,1)="N",B64,LEFT(B64,1)="P",B69,LEFT(B64,1)="B",B70,LEFT(B64,1)="H",B71,LEFT(B64,1)="A","Advanced",LEFT(B64,1)="V","Very Advanced",LEFT(B64,1)="S","Self-aware",LEFT(B64,1)="C","Conscious")," (INT ",H66,")")</f>
        <v>Very Advanced (INT 9)</v>
      </c>
      <c r="T13" s="183"/>
      <c r="U13" s="183"/>
      <c r="V13" s="183"/>
      <c r="W13" s="183"/>
      <c r="X13" s="183"/>
      <c r="Y13" s="183"/>
      <c r="Z13" s="184"/>
    </row>
    <row r="14" spans="1:26" ht="12" customHeight="1" x14ac:dyDescent="0.35">
      <c r="A14" s="92" t="s">
        <v>300</v>
      </c>
      <c r="B14" s="29">
        <v>0</v>
      </c>
      <c r="E14" s="39"/>
      <c r="F14" s="37"/>
      <c r="G14" s="92" t="s">
        <v>306</v>
      </c>
      <c r="H14" s="92"/>
      <c r="I14" s="92"/>
      <c r="J14" s="51">
        <f>IF(B15=TRUE,"-",IF(B5="None",0,5+J13+B14+IF(B4=0,-1,0)))</f>
        <v>5</v>
      </c>
      <c r="K14" s="32" t="str">
        <f>IF(B15,_xlfn.CONCAT("Final Endurance =  ",ROUND(J9*(1-B14/10),IF(B4=0,1,0))," (",ROUND(J9*(1-B14/10)/(4+IF(B16="No",0,LEFT(B16,1))),IF(B4=0,1,0)),")", " hours"),_xlfn.CONCAT("Final Endurance =  ",ROUND(J9*(1-B14/10),IF(B4=0,1,0))," hours"))</f>
        <v>Final Endurance =  288 hours</v>
      </c>
      <c r="L14" s="5"/>
      <c r="M14" s="5"/>
      <c r="N14" s="5"/>
      <c r="P14" s="136">
        <f>B14*0.1*P5</f>
        <v>0</v>
      </c>
      <c r="R14" s="213" t="s">
        <v>475</v>
      </c>
      <c r="S14" s="216" t="str">
        <f>_xlfn.CONCAT(A30,", ",A31,", ",A32,", ",A33,", ",A34,", ",A36,", ",A37,", ",A38,", ",A39,", ",A40,", ",A41,", ",A42,", ",A43,", ",A44,", ",A45,", ",A46,", ",A47,", ",A48,", ",A49,", ",A50,", ",A51,", ",A52,", ",A53,", ",A54,", ",A55,", ",A56)</f>
        <v xml:space="preserve">Auditory Sensor, Transceiver 5 km (improved), Visual Spectrum Sensor, Voder Speaker, Wireless Data Link, Autobar (enhanced), Autochef (enhanced), Olfactory Sensor (improved), Quick Charger, Storage Compartment (refrigerated), Storage Compartment (standard), Vacuum Environment Protection, , , , , , , , , , , , , , </v>
      </c>
      <c r="T14" s="217"/>
      <c r="U14" s="217"/>
      <c r="V14" s="217"/>
      <c r="W14" s="217"/>
      <c r="X14" s="217"/>
      <c r="Y14" s="217"/>
      <c r="Z14" s="218"/>
    </row>
    <row r="15" spans="1:26" ht="12" customHeight="1" x14ac:dyDescent="0.35">
      <c r="A15" s="92" t="s">
        <v>187</v>
      </c>
      <c r="B15" s="30" t="b">
        <v>0</v>
      </c>
      <c r="E15" s="114">
        <f>IF(B15=TRUE,-ROUNDUP(E4/4,0)-IF(B4=0,1,0),0)</f>
        <v>0</v>
      </c>
      <c r="F15" s="37"/>
      <c r="G15" s="92" t="s">
        <v>178</v>
      </c>
      <c r="H15" s="92"/>
      <c r="I15" s="92"/>
      <c r="J15" s="51">
        <f>IF(B5="None",0,IF(B15=TRUE,_xlfn.XLOOKUP(N15,Speedbands[Speed Band],Speedbands[Number],,,),1))</f>
        <v>1</v>
      </c>
      <c r="N15" s="5" t="str">
        <f>IF(B5="None","(stopped), ",IF(B15=TRUE,_xlfn.CONCAT("(",_xlfn.XLOOKUP(B5,Locomotion[Locomotion],Locomotion[High Speed],,,),")"),"(idle), "))</f>
        <v xml:space="preserve">(idle), </v>
      </c>
      <c r="P15" s="136">
        <f>-250*E15*_xlfn.XLOOKUP(B5,Locomotion[Locomotion],Locomotion[Cost X],,,)</f>
        <v>0</v>
      </c>
      <c r="R15" s="214"/>
      <c r="S15" s="216"/>
      <c r="T15" s="217"/>
      <c r="U15" s="217"/>
      <c r="V15" s="217"/>
      <c r="W15" s="217"/>
      <c r="X15" s="217"/>
      <c r="Y15" s="217"/>
      <c r="Z15" s="218"/>
    </row>
    <row r="16" spans="1:26" ht="12" customHeight="1" x14ac:dyDescent="0.35">
      <c r="A16" s="92" t="s">
        <v>188</v>
      </c>
      <c r="B16" s="30" t="s">
        <v>171</v>
      </c>
      <c r="E16" s="114">
        <f>IF(B16="No",0,-ROUNDUP(LEFT(B16,1)/10*E4,0)-IF(B4=0,1,0))</f>
        <v>0</v>
      </c>
      <c r="F16" s="37"/>
      <c r="G16" s="92" t="s">
        <v>178</v>
      </c>
      <c r="H16" s="92"/>
      <c r="I16" s="92"/>
      <c r="J16" s="51">
        <f>IF(B16="No",J15,J15+LEFT(B16,1))</f>
        <v>1</v>
      </c>
      <c r="N16" s="5" t="str">
        <f>IF(B16="No","",_xlfn.XLOOKUP(J16,Speedbands[Number],Speedbands[Speed Band],,,))</f>
        <v/>
      </c>
      <c r="P16" s="136">
        <f>IF(B16="No",0,(P5)*2^(LEFT(B16,1)))</f>
        <v>0</v>
      </c>
      <c r="R16" s="214"/>
      <c r="S16" s="216"/>
      <c r="T16" s="217"/>
      <c r="U16" s="217"/>
      <c r="V16" s="217"/>
      <c r="W16" s="217"/>
      <c r="X16" s="217"/>
      <c r="Y16" s="217"/>
      <c r="Z16" s="218"/>
    </row>
    <row r="17" spans="1:26" ht="12" customHeight="1" thickBot="1" x14ac:dyDescent="0.4">
      <c r="A17" s="92" t="s">
        <v>176</v>
      </c>
      <c r="B17" s="28" t="s">
        <v>26</v>
      </c>
      <c r="C17" s="24"/>
      <c r="D17" s="24"/>
      <c r="E17" s="114">
        <f>IF(B17="None",0,-ROUNDUP(E4/4,0)-IF(B4=0,1,0))</f>
        <v>0</v>
      </c>
      <c r="F17" s="38"/>
      <c r="G17" s="24"/>
      <c r="H17" s="24"/>
      <c r="I17" s="24"/>
      <c r="J17" s="24"/>
      <c r="K17" s="24"/>
      <c r="L17" s="18"/>
      <c r="M17" s="24"/>
      <c r="N17" s="25" t="str">
        <f>IF(_xlfn.XLOOKUP(B17,Locomotion[Locomotion],Locomotion[Traits],,,)="","",_xlfn.XLOOKUP(B17,Locomotion[Locomotion],Locomotion[Traits],,,))</f>
        <v/>
      </c>
      <c r="O17" s="24"/>
      <c r="P17" s="135">
        <f>-E17*500*_xlfn.XLOOKUP(B17,Locomotion[Locomotion],Locomotion[Cost X])</f>
        <v>0</v>
      </c>
      <c r="R17" s="214"/>
      <c r="S17" s="216"/>
      <c r="T17" s="217"/>
      <c r="U17" s="217"/>
      <c r="V17" s="217"/>
      <c r="W17" s="217"/>
      <c r="X17" s="217"/>
      <c r="Y17" s="217"/>
      <c r="Z17" s="218"/>
    </row>
    <row r="18" spans="1:26" ht="12" customHeight="1" thickBot="1" x14ac:dyDescent="0.4">
      <c r="A18" s="63" t="s">
        <v>49</v>
      </c>
      <c r="B18" s="63" t="s">
        <v>17</v>
      </c>
      <c r="C18" s="64" t="s">
        <v>46</v>
      </c>
      <c r="D18" s="64" t="s">
        <v>47</v>
      </c>
      <c r="E18" s="64" t="s">
        <v>10</v>
      </c>
      <c r="F18" s="66" t="s">
        <v>46</v>
      </c>
      <c r="G18" s="63" t="s">
        <v>304</v>
      </c>
      <c r="H18" s="63"/>
      <c r="I18" s="67"/>
      <c r="J18" s="69" t="s">
        <v>47</v>
      </c>
      <c r="K18" s="63" t="s">
        <v>304</v>
      </c>
      <c r="L18" s="63"/>
      <c r="M18" s="70"/>
      <c r="N18" s="68"/>
      <c r="O18" s="63" t="s">
        <v>90</v>
      </c>
      <c r="P18" s="134" t="s">
        <v>5</v>
      </c>
      <c r="R18" s="215"/>
      <c r="S18" s="216"/>
      <c r="T18" s="217"/>
      <c r="U18" s="217"/>
      <c r="V18" s="217"/>
      <c r="W18" s="217"/>
      <c r="X18" s="217"/>
      <c r="Y18" s="217"/>
      <c r="Z18" s="218"/>
    </row>
    <row r="19" spans="1:26" ht="12" customHeight="1" x14ac:dyDescent="0.35">
      <c r="A19" s="92" t="s">
        <v>50</v>
      </c>
      <c r="B19" s="35">
        <v>5</v>
      </c>
      <c r="C19" s="60">
        <f t="shared" ref="C19:C26" si="0">IF(B19=0,0,B19*2-1)</f>
        <v>9</v>
      </c>
      <c r="D19" s="95">
        <f>ROUNDUP($O$2/2+1,0)</f>
        <v>9</v>
      </c>
      <c r="E19" s="100" cm="1">
        <f t="array" ref="E19">ROUNDUP(_xlfn.IFS($B$4-B19=0,0,$B$4-B19=1,$E$4*0.05,$B$4-B19=2,$E$4*0.08,$B$4-B19=3,$E$4*0.09,$B$4-B19&gt;3,$E$4*0.1,$B$4-B19&lt;0,$E$4*0.1*($B$4-B19)),0)</f>
        <v>0</v>
      </c>
      <c r="F19" s="53">
        <f t="shared" ref="F19:F28" si="1">C19*2</f>
        <v>18</v>
      </c>
      <c r="G19" s="16"/>
      <c r="H19" s="60">
        <f t="shared" ref="H19:H28" si="2">C19+G19</f>
        <v>9</v>
      </c>
      <c r="I19" s="61">
        <f t="shared" ref="I19:I28" si="3">IF(H19&gt;17,4,IF(H19&gt;14,3,IF(H19&gt;11,2,IF(H19&gt;8,1,IF(H19&gt;5,0,IF(H19&gt;2,-1,-2))))))</f>
        <v>1</v>
      </c>
      <c r="J19" s="53">
        <f t="shared" ref="J19:J28" si="4">$O$2+3</f>
        <v>18</v>
      </c>
      <c r="K19" s="16"/>
      <c r="L19" s="60">
        <f t="shared" ref="L19:L28" si="5">D19+K19</f>
        <v>9</v>
      </c>
      <c r="M19" s="61">
        <f>IF(L19&gt;20,5,IF(L19&gt;17,4,IF(L19&gt;14,3,IF(L19&gt;11,2,IF(L19&gt;8,1,IF(L19&gt;5,0,IF(L19&gt;2,-1,-2)))))))</f>
        <v>1</v>
      </c>
      <c r="O19" s="12" t="str">
        <f>IF(I19&gt;0,_xlfn.CONCAT("Athletics (strength) ",I19,", "),"")</f>
        <v xml:space="preserve">Athletics (strength) 1, </v>
      </c>
      <c r="P19" s="136">
        <f>IF((B19-$B$4)*100&gt;-0.2*$P$5,(B19-$B$4)*100,-0.2*$P$5)+B19*100*(G19)^2+B19*200*(K19)^2</f>
        <v>0</v>
      </c>
    </row>
    <row r="20" spans="1:26" ht="12" customHeight="1" x14ac:dyDescent="0.35">
      <c r="A20" s="92" t="s">
        <v>51</v>
      </c>
      <c r="B20" s="35">
        <v>5</v>
      </c>
      <c r="C20" s="6">
        <f t="shared" si="0"/>
        <v>9</v>
      </c>
      <c r="D20" s="96">
        <f t="shared" ref="D20:D26" si="6">IF(B20=0,0,ROUNDUP($O$2/2+1,0))</f>
        <v>9</v>
      </c>
      <c r="E20" s="100" cm="1">
        <f t="array" ref="E20">ROUNDUP(_xlfn.IFS($B$4-B20=0,0,$B$4-B20=1,$E$4*0.05,$B$4-B20=2,$E$4*0.08,$B$4-B20=3,$E$4*0.09,$B$4-B20&gt;3,$E$4*0.1,$B$4-B20&lt;0,$E$4*0.1*($B$4-B20)),0)</f>
        <v>0</v>
      </c>
      <c r="F20" s="53">
        <f t="shared" si="1"/>
        <v>18</v>
      </c>
      <c r="G20" s="16"/>
      <c r="H20" s="6">
        <f t="shared" si="2"/>
        <v>9</v>
      </c>
      <c r="I20" s="21">
        <f t="shared" si="3"/>
        <v>1</v>
      </c>
      <c r="J20" s="53">
        <f t="shared" si="4"/>
        <v>18</v>
      </c>
      <c r="K20" s="16"/>
      <c r="L20" s="6">
        <f t="shared" si="5"/>
        <v>9</v>
      </c>
      <c r="M20" s="61">
        <f t="shared" ref="M20:M28" si="7">IF(L20&gt;20,5,IF(L20&gt;17,4,IF(L20&gt;14,3,IF(L20&gt;11,2,IF(L20&gt;8,1,IF(L20&gt;5,0,IF(L20&gt;2,-1,-2)))))))</f>
        <v>1</v>
      </c>
      <c r="O20" s="12" t="str">
        <f t="shared" ref="O20:O28" si="8">IF(I20&gt;0,_xlfn.CONCAT("Athletics (strength) ",I20,", "),"")</f>
        <v xml:space="preserve">Athletics (strength) 1, </v>
      </c>
      <c r="P20" s="136">
        <f>IF((B20-$B$4)*100&gt;-0.2*$P$5,(B20-$B$4)*100,-0.2*$P$5)+B20*100*(G20)^2+B20*200*(K20)^2</f>
        <v>0</v>
      </c>
      <c r="R20" s="7" t="s">
        <v>798</v>
      </c>
    </row>
    <row r="21" spans="1:26" ht="12" customHeight="1" x14ac:dyDescent="0.35">
      <c r="A21" s="92" t="s">
        <v>52</v>
      </c>
      <c r="B21" s="30"/>
      <c r="C21" s="6">
        <f t="shared" si="0"/>
        <v>0</v>
      </c>
      <c r="D21" s="96">
        <f t="shared" si="6"/>
        <v>0</v>
      </c>
      <c r="E21" s="100" cm="1">
        <f t="array" ref="E21">IF(B21=0,0,ROUNDUP(_xlfn.IFS($B$4-B21=0,-$E$4*0.1,$B$4-B21=1,-$E$4*0.05,$B$4-B21=2,-$E$4*0.02,$B$4-B21=3,-$E$4*0.01,$B$4-B21&gt;3,-$E$4*0.01,$B$4-B21&lt;0,$E$4*0.2*($B$4-B21)),0))</f>
        <v>0</v>
      </c>
      <c r="F21" s="53">
        <f t="shared" si="1"/>
        <v>0</v>
      </c>
      <c r="G21" s="16"/>
      <c r="H21" s="6">
        <f t="shared" si="2"/>
        <v>0</v>
      </c>
      <c r="I21" s="21">
        <f t="shared" si="3"/>
        <v>-2</v>
      </c>
      <c r="J21" s="53">
        <f t="shared" si="4"/>
        <v>18</v>
      </c>
      <c r="K21" s="16"/>
      <c r="L21" s="6">
        <f t="shared" si="5"/>
        <v>0</v>
      </c>
      <c r="M21" s="61">
        <f t="shared" si="7"/>
        <v>-2</v>
      </c>
      <c r="O21" s="12" t="str">
        <f t="shared" si="8"/>
        <v/>
      </c>
      <c r="P21" s="136">
        <f t="shared" ref="P21:P26" si="9">(B21)*100+B21*100*(G21)^2+B21*200*(K21)^2</f>
        <v>0</v>
      </c>
      <c r="R21" s="200"/>
      <c r="S21" s="201"/>
      <c r="T21" s="201"/>
      <c r="U21" s="201"/>
      <c r="V21" s="201"/>
      <c r="W21" s="201"/>
      <c r="X21" s="201"/>
      <c r="Y21" s="201"/>
      <c r="Z21" s="202"/>
    </row>
    <row r="22" spans="1:26" ht="12" customHeight="1" x14ac:dyDescent="0.35">
      <c r="A22" s="92" t="s">
        <v>53</v>
      </c>
      <c r="B22" s="30"/>
      <c r="C22" s="6">
        <f t="shared" si="0"/>
        <v>0</v>
      </c>
      <c r="D22" s="96">
        <f t="shared" si="6"/>
        <v>0</v>
      </c>
      <c r="E22" s="100" cm="1">
        <f t="array" ref="E22">IF(B22=0,0,ROUNDUP(_xlfn.IFS($B$4-B22=0,-$E$4*0.1,$B$4-B22=1,-$E$4*0.05,$B$4-B22=2,-$E$4*0.02,$B$4-B22=3,-$E$4*0.01,$B$4-B22&gt;3,-$E$4*0.01,$B$4-B22&lt;0,$E$4*0.2*($B$4-B22)),0))</f>
        <v>0</v>
      </c>
      <c r="F22" s="53">
        <f t="shared" si="1"/>
        <v>0</v>
      </c>
      <c r="G22" s="16"/>
      <c r="H22" s="6">
        <f t="shared" si="2"/>
        <v>0</v>
      </c>
      <c r="I22" s="21">
        <f t="shared" si="3"/>
        <v>-2</v>
      </c>
      <c r="J22" s="53">
        <f t="shared" si="4"/>
        <v>18</v>
      </c>
      <c r="K22" s="16"/>
      <c r="L22" s="6">
        <f t="shared" si="5"/>
        <v>0</v>
      </c>
      <c r="M22" s="61">
        <f t="shared" si="7"/>
        <v>-2</v>
      </c>
      <c r="O22" s="12" t="str">
        <f t="shared" si="8"/>
        <v/>
      </c>
      <c r="P22" s="136">
        <f t="shared" si="9"/>
        <v>0</v>
      </c>
      <c r="R22" s="203"/>
      <c r="S22" s="204"/>
      <c r="T22" s="204"/>
      <c r="U22" s="204"/>
      <c r="V22" s="204"/>
      <c r="W22" s="204"/>
      <c r="X22" s="204"/>
      <c r="Y22" s="204"/>
      <c r="Z22" s="205"/>
    </row>
    <row r="23" spans="1:26" ht="12" customHeight="1" x14ac:dyDescent="0.35">
      <c r="A23" s="92" t="s">
        <v>54</v>
      </c>
      <c r="B23" s="30"/>
      <c r="C23" s="6">
        <f t="shared" si="0"/>
        <v>0</v>
      </c>
      <c r="D23" s="96">
        <f t="shared" si="6"/>
        <v>0</v>
      </c>
      <c r="E23" s="100" cm="1">
        <f t="array" ref="E23">IF(B23=0,0,ROUNDUP(_xlfn.IFS($B$4-B23=0,-$E$4*0.1,$B$4-B23=1,-$E$4*0.05,$B$4-B23=2,-$E$4*0.02,$B$4-B23=3,-$E$4*0.01,$B$4-B23&gt;3,-$E$4*0.01,$B$4-B23&lt;0,$E$4*0.2*($B$4-B23)),0))</f>
        <v>0</v>
      </c>
      <c r="F23" s="53">
        <f t="shared" si="1"/>
        <v>0</v>
      </c>
      <c r="G23" s="16"/>
      <c r="H23" s="6">
        <f t="shared" si="2"/>
        <v>0</v>
      </c>
      <c r="I23" s="21">
        <f t="shared" si="3"/>
        <v>-2</v>
      </c>
      <c r="J23" s="53">
        <f t="shared" si="4"/>
        <v>18</v>
      </c>
      <c r="K23" s="16"/>
      <c r="L23" s="6">
        <f t="shared" si="5"/>
        <v>0</v>
      </c>
      <c r="M23" s="61">
        <f t="shared" si="7"/>
        <v>-2</v>
      </c>
      <c r="O23" s="12" t="str">
        <f t="shared" si="8"/>
        <v/>
      </c>
      <c r="P23" s="136">
        <f t="shared" si="9"/>
        <v>0</v>
      </c>
      <c r="R23" s="203"/>
      <c r="S23" s="204"/>
      <c r="T23" s="204"/>
      <c r="U23" s="204"/>
      <c r="V23" s="204"/>
      <c r="W23" s="204"/>
      <c r="X23" s="204"/>
      <c r="Y23" s="204"/>
      <c r="Z23" s="205"/>
    </row>
    <row r="24" spans="1:26" ht="12" customHeight="1" x14ac:dyDescent="0.35">
      <c r="A24" s="92" t="s">
        <v>55</v>
      </c>
      <c r="B24" s="30"/>
      <c r="C24" s="6">
        <f t="shared" si="0"/>
        <v>0</v>
      </c>
      <c r="D24" s="96">
        <f t="shared" si="6"/>
        <v>0</v>
      </c>
      <c r="E24" s="100" cm="1">
        <f t="array" ref="E24">IF(B24=0,0,ROUNDUP(_xlfn.IFS($B$4-B24=0,-$E$4*0.1,$B$4-B24=1,-$E$4*0.05,$B$4-B24=2,-$E$4*0.02,$B$4-B24=3,-$E$4*0.01,$B$4-B24&gt;3,-$E$4*0.01,$B$4-B24&lt;0,$E$4*0.2*($B$4-B24)),0))</f>
        <v>0</v>
      </c>
      <c r="F24" s="53">
        <f t="shared" si="1"/>
        <v>0</v>
      </c>
      <c r="G24" s="16"/>
      <c r="H24" s="6">
        <f t="shared" si="2"/>
        <v>0</v>
      </c>
      <c r="I24" s="21">
        <f t="shared" si="3"/>
        <v>-2</v>
      </c>
      <c r="J24" s="53">
        <f t="shared" si="4"/>
        <v>18</v>
      </c>
      <c r="K24" s="16"/>
      <c r="L24" s="6">
        <f t="shared" si="5"/>
        <v>0</v>
      </c>
      <c r="M24" s="61">
        <f t="shared" si="7"/>
        <v>-2</v>
      </c>
      <c r="O24" s="12" t="str">
        <f t="shared" si="8"/>
        <v/>
      </c>
      <c r="P24" s="136">
        <f t="shared" si="9"/>
        <v>0</v>
      </c>
      <c r="R24" s="203"/>
      <c r="S24" s="204"/>
      <c r="T24" s="204"/>
      <c r="U24" s="204"/>
      <c r="V24" s="204"/>
      <c r="W24" s="204"/>
      <c r="X24" s="204"/>
      <c r="Y24" s="204"/>
      <c r="Z24" s="205"/>
    </row>
    <row r="25" spans="1:26" ht="12" customHeight="1" x14ac:dyDescent="0.35">
      <c r="A25" s="92" t="s">
        <v>56</v>
      </c>
      <c r="B25" s="30"/>
      <c r="C25" s="6">
        <f t="shared" si="0"/>
        <v>0</v>
      </c>
      <c r="D25" s="96">
        <f t="shared" si="6"/>
        <v>0</v>
      </c>
      <c r="E25" s="100" cm="1">
        <f t="array" ref="E25">IF(B25=0,0,ROUNDUP(_xlfn.IFS($B$4-B25=0,-$E$4*0.1,$B$4-B25=1,-$E$4*0.05,$B$4-B25=2,-$E$4*0.02,$B$4-B25=3,-$E$4*0.01,$B$4-B25&gt;3,-$E$4*0.01,$B$4-B25&lt;0,$E$4*0.2*($B$4-B25)),0))</f>
        <v>0</v>
      </c>
      <c r="F25" s="53">
        <f t="shared" si="1"/>
        <v>0</v>
      </c>
      <c r="G25" s="16"/>
      <c r="H25" s="6">
        <f t="shared" si="2"/>
        <v>0</v>
      </c>
      <c r="I25" s="21">
        <f t="shared" si="3"/>
        <v>-2</v>
      </c>
      <c r="J25" s="53">
        <f t="shared" si="4"/>
        <v>18</v>
      </c>
      <c r="K25" s="16"/>
      <c r="L25" s="6">
        <f t="shared" si="5"/>
        <v>0</v>
      </c>
      <c r="M25" s="61">
        <f t="shared" si="7"/>
        <v>-2</v>
      </c>
      <c r="O25" s="12" t="str">
        <f t="shared" si="8"/>
        <v/>
      </c>
      <c r="P25" s="136">
        <f t="shared" si="9"/>
        <v>0</v>
      </c>
      <c r="R25" s="203"/>
      <c r="S25" s="204"/>
      <c r="T25" s="204"/>
      <c r="U25" s="204"/>
      <c r="V25" s="204"/>
      <c r="W25" s="204"/>
      <c r="X25" s="204"/>
      <c r="Y25" s="204"/>
      <c r="Z25" s="205"/>
    </row>
    <row r="26" spans="1:26" ht="12" customHeight="1" thickBot="1" x14ac:dyDescent="0.4">
      <c r="A26" s="94" t="s">
        <v>57</v>
      </c>
      <c r="B26" s="79"/>
      <c r="C26" s="81">
        <f t="shared" si="0"/>
        <v>0</v>
      </c>
      <c r="D26" s="97">
        <f t="shared" si="6"/>
        <v>0</v>
      </c>
      <c r="E26" s="58" cm="1">
        <f t="array" ref="E26">IF(B26=0,0,ROUNDUP(_xlfn.IFS($B$4-B26=0,-$E$4*0.1,$B$4-B26=1,-$E$4*0.05,$B$4-B26=2,-$E$4*0.02,$B$4-B26=3,-$E$4*0.01,$B$4-B26&gt;3,-$E$4*0.01,$B$4-B26&lt;0,$E$4*0.2*($B$4-B26)),0))</f>
        <v>0</v>
      </c>
      <c r="F26" s="53">
        <f t="shared" si="1"/>
        <v>0</v>
      </c>
      <c r="G26" s="80"/>
      <c r="H26" s="81">
        <f t="shared" si="2"/>
        <v>0</v>
      </c>
      <c r="I26" s="82">
        <f t="shared" si="3"/>
        <v>-2</v>
      </c>
      <c r="J26" s="53">
        <f t="shared" si="4"/>
        <v>18</v>
      </c>
      <c r="K26" s="80"/>
      <c r="L26" s="81">
        <f t="shared" si="5"/>
        <v>0</v>
      </c>
      <c r="M26" s="157">
        <f t="shared" si="7"/>
        <v>-2</v>
      </c>
      <c r="O26" s="155" t="str">
        <f t="shared" si="8"/>
        <v/>
      </c>
      <c r="P26" s="136">
        <f t="shared" si="9"/>
        <v>0</v>
      </c>
      <c r="R26" s="203"/>
      <c r="S26" s="204"/>
      <c r="T26" s="204"/>
      <c r="U26" s="204"/>
      <c r="V26" s="204"/>
      <c r="W26" s="204"/>
      <c r="X26" s="204"/>
      <c r="Y26" s="204"/>
      <c r="Z26" s="205"/>
    </row>
    <row r="27" spans="1:26" ht="12" customHeight="1" x14ac:dyDescent="0.35">
      <c r="A27" s="93" t="str">
        <f>IF(B5="Walker", "Modified Leg One", "[null]")</f>
        <v>Modified Leg One</v>
      </c>
      <c r="B27" s="83" t="b">
        <v>0</v>
      </c>
      <c r="C27" s="86">
        <f>IF(B27=FALSE,0,$B$4*2-1)</f>
        <v>0</v>
      </c>
      <c r="D27" s="98">
        <f>IF(B27=FALSE,0,ROUNDUP($O$2/2+1,0))</f>
        <v>0</v>
      </c>
      <c r="E27" s="101"/>
      <c r="F27" s="84">
        <f t="shared" si="1"/>
        <v>0</v>
      </c>
      <c r="G27" s="85"/>
      <c r="H27" s="86">
        <f t="shared" si="2"/>
        <v>0</v>
      </c>
      <c r="I27" s="87">
        <f t="shared" si="3"/>
        <v>-2</v>
      </c>
      <c r="J27" s="84">
        <f t="shared" si="4"/>
        <v>18</v>
      </c>
      <c r="K27" s="85"/>
      <c r="L27" s="86">
        <f t="shared" si="5"/>
        <v>0</v>
      </c>
      <c r="M27" s="61">
        <f>IF(L27&gt;20,5,IF(L27&gt;17,4,IF(L27&gt;14,3,IF(L27&gt;11,2,IF(L27&gt;8,1,IF(L27&gt;5,0,IF(L27&gt;2,-1,-2)))))))</f>
        <v>-2</v>
      </c>
      <c r="N27" s="73"/>
      <c r="O27" s="12" t="str">
        <f t="shared" si="8"/>
        <v/>
      </c>
      <c r="P27" s="137">
        <f>(B27)*100*$B$4+B27*$B$4*100*(G27)^2+B27*$B$4*200*(K27)^2</f>
        <v>0</v>
      </c>
      <c r="R27" s="203"/>
      <c r="S27" s="204"/>
      <c r="T27" s="204"/>
      <c r="U27" s="204"/>
      <c r="V27" s="204"/>
      <c r="W27" s="204"/>
      <c r="X27" s="204"/>
      <c r="Y27" s="204"/>
      <c r="Z27" s="205"/>
    </row>
    <row r="28" spans="1:26" ht="12" customHeight="1" thickBot="1" x14ac:dyDescent="0.4">
      <c r="A28" s="92" t="str">
        <f>IF(B5="Walker", "Modified Leg Two", "[null]")</f>
        <v>Modified Leg Two</v>
      </c>
      <c r="B28" s="28" t="b">
        <v>0</v>
      </c>
      <c r="C28" s="20">
        <f>IF(B28=FALSE,0,$B$4*2-1)</f>
        <v>0</v>
      </c>
      <c r="D28" s="99">
        <f>IF(B28=FALSE,0,ROUNDUP($O$2/2+1,0))</f>
        <v>0</v>
      </c>
      <c r="E28" s="100"/>
      <c r="F28" s="54">
        <f t="shared" si="1"/>
        <v>0</v>
      </c>
      <c r="G28" s="19"/>
      <c r="H28" s="20">
        <f t="shared" si="2"/>
        <v>0</v>
      </c>
      <c r="I28" s="22">
        <f t="shared" si="3"/>
        <v>-2</v>
      </c>
      <c r="J28" s="54">
        <f t="shared" si="4"/>
        <v>18</v>
      </c>
      <c r="K28" s="19"/>
      <c r="L28" s="20">
        <f t="shared" si="5"/>
        <v>0</v>
      </c>
      <c r="M28" s="61">
        <f t="shared" si="7"/>
        <v>-2</v>
      </c>
      <c r="N28" s="24"/>
      <c r="O28" s="12" t="str">
        <f t="shared" si="8"/>
        <v/>
      </c>
      <c r="P28" s="135">
        <f>(B28)*100*$B$4+B28*$B$4*100*(G28)^2+B28*$B$4*200*(K28)^2</f>
        <v>0</v>
      </c>
      <c r="R28" s="203"/>
      <c r="S28" s="204"/>
      <c r="T28" s="204"/>
      <c r="U28" s="204"/>
      <c r="V28" s="204"/>
      <c r="W28" s="204"/>
      <c r="X28" s="204"/>
      <c r="Y28" s="204"/>
      <c r="Z28" s="205"/>
    </row>
    <row r="29" spans="1:26" ht="12" customHeight="1" thickBot="1" x14ac:dyDescent="0.4">
      <c r="A29" s="63" t="s">
        <v>43</v>
      </c>
      <c r="B29" s="165"/>
      <c r="C29" s="166"/>
      <c r="D29" s="185"/>
      <c r="E29" s="71" t="s">
        <v>10</v>
      </c>
      <c r="F29" s="66" t="s">
        <v>97</v>
      </c>
      <c r="G29" s="63"/>
      <c r="H29" s="197" t="s">
        <v>301</v>
      </c>
      <c r="I29" s="198"/>
      <c r="J29" s="199"/>
      <c r="K29" s="76" t="s">
        <v>4</v>
      </c>
      <c r="L29" s="65"/>
      <c r="M29" s="70"/>
      <c r="N29" s="65" t="s">
        <v>25</v>
      </c>
      <c r="O29" s="63" t="s">
        <v>90</v>
      </c>
      <c r="P29" s="134" t="s">
        <v>5</v>
      </c>
      <c r="R29" s="203"/>
      <c r="S29" s="204"/>
      <c r="T29" s="204"/>
      <c r="U29" s="204"/>
      <c r="V29" s="204"/>
      <c r="W29" s="204"/>
      <c r="X29" s="204"/>
      <c r="Y29" s="204"/>
      <c r="Z29" s="205"/>
    </row>
    <row r="30" spans="1:26" ht="12" customHeight="1" x14ac:dyDescent="0.35">
      <c r="A30" s="191" t="s">
        <v>639</v>
      </c>
      <c r="B30" s="192"/>
      <c r="C30" s="192"/>
      <c r="D30" s="192"/>
      <c r="E30" s="100">
        <f>_xlfn.XLOOKUP(A30,OptionsTable[Name],OptionsTable[Slots],,,)</f>
        <v>0</v>
      </c>
      <c r="F30" s="37">
        <f>IF(_xlfn.XLOOKUP(A30,OptionsTable[Name],OptionsTable[xS],,,)=FALSE,1,$E$4)</f>
        <v>1</v>
      </c>
      <c r="G30" s="37"/>
      <c r="H30" s="193" t="str">
        <f>IF(_xlfn.XLOOKUP(A30,OptionsTable[Name],OptionsTable[Notes],,,)="","",_xlfn.XLOOKUP(A30,OptionsTable[Name],OptionsTable[Notes],,,))</f>
        <v>20-20,000 Hz, 0dB</v>
      </c>
      <c r="I30" s="194"/>
      <c r="J30" s="194"/>
      <c r="K30" s="43">
        <f>_xlfn.XLOOKUP(A30,OptionsTable[Name],OptionsTable[TL],,,)</f>
        <v>7</v>
      </c>
      <c r="N30" s="5" t="str">
        <f>IF(_xlfn.XLOOKUP(A30,OptionsTable[Name],OptionsTable[Trait],,,)="","",_xlfn.XLOOKUP(A30,OptionsTable[Name],OptionsTable[Trait],,,))</f>
        <v/>
      </c>
      <c r="O30" s="5" t="str">
        <f>IF(_xlfn.XLOOKUP(A30,OptionsTable[Name],OptionsTable[Skill],,,)="","",_xlfn.XLOOKUP(A30,OptionsTable[Name],OptionsTable[Skill],,,))</f>
        <v/>
      </c>
      <c r="P30" s="136">
        <f>_xlfn.XLOOKUP(A30,OptionsTable[Name],OptionsTable[DS],,,)*F30</f>
        <v>0</v>
      </c>
      <c r="R30" s="203"/>
      <c r="S30" s="204"/>
      <c r="T30" s="204"/>
      <c r="U30" s="204"/>
      <c r="V30" s="204"/>
      <c r="W30" s="204"/>
      <c r="X30" s="204"/>
      <c r="Y30" s="204"/>
      <c r="Z30" s="205"/>
    </row>
    <row r="31" spans="1:26" ht="12" customHeight="1" x14ac:dyDescent="0.35">
      <c r="A31" s="191" t="s">
        <v>464</v>
      </c>
      <c r="B31" s="192"/>
      <c r="C31" s="192"/>
      <c r="D31" s="192"/>
      <c r="E31" s="100">
        <f>_xlfn.XLOOKUP(A31,OptionsTable[Name],OptionsTable[Slots],,,)</f>
        <v>0</v>
      </c>
      <c r="F31" s="37">
        <f>IF(_xlfn.XLOOKUP(A31,OptionsTable[Name],OptionsTable[xS],,,)=FALSE,1,$E$4)</f>
        <v>1</v>
      </c>
      <c r="G31" s="37"/>
      <c r="H31" s="193" t="str">
        <f>IF(_xlfn.XLOOKUP(A31,OptionsTable[Name],OptionsTable[Notes],,,)="","",_xlfn.XLOOKUP(A31,OptionsTable[Name],OptionsTable[Notes],,,))</f>
        <v/>
      </c>
      <c r="I31" s="194"/>
      <c r="J31" s="194"/>
      <c r="K31" s="43">
        <f>_xlfn.XLOOKUP(A31,OptionsTable[Name],OptionsTable[TL],,,)</f>
        <v>8</v>
      </c>
      <c r="N31" s="5" t="str">
        <f>IF(_xlfn.XLOOKUP(A31,OptionsTable[Name],OptionsTable[Trait],,,)="","",_xlfn.XLOOKUP(A31,OptionsTable[Name],OptionsTable[Trait],,,))</f>
        <v/>
      </c>
      <c r="O31" s="5" t="str">
        <f>IF(_xlfn.XLOOKUP(A31,OptionsTable[Name],OptionsTable[Skill],,,)="","",_xlfn.XLOOKUP(A31,OptionsTable[Name],OptionsTable[Skill],,,))</f>
        <v/>
      </c>
      <c r="P31" s="136">
        <f>_xlfn.XLOOKUP(A31,OptionsTable[Name],OptionsTable[DS],,,)*F31</f>
        <v>0</v>
      </c>
      <c r="R31" s="203"/>
      <c r="S31" s="204"/>
      <c r="T31" s="204"/>
      <c r="U31" s="204"/>
      <c r="V31" s="204"/>
      <c r="W31" s="204"/>
      <c r="X31" s="204"/>
      <c r="Y31" s="204"/>
      <c r="Z31" s="205"/>
    </row>
    <row r="32" spans="1:26" ht="12" customHeight="1" x14ac:dyDescent="0.35">
      <c r="A32" s="191" t="s">
        <v>39</v>
      </c>
      <c r="B32" s="192"/>
      <c r="C32" s="192"/>
      <c r="D32" s="192"/>
      <c r="E32" s="100">
        <f>_xlfn.XLOOKUP(A32,OptionsTable[Name],OptionsTable[Slots],,,)</f>
        <v>0</v>
      </c>
      <c r="F32" s="37">
        <f>IF(_xlfn.XLOOKUP(A32,OptionsTable[Name],OptionsTable[xS],,,)=FALSE,1,$E$4)</f>
        <v>1</v>
      </c>
      <c r="G32" s="37"/>
      <c r="H32" s="193" t="str">
        <f>IF(_xlfn.XLOOKUP(A32,OptionsTable[Name],OptionsTable[Notes],,,)="","",_xlfn.XLOOKUP(A32,OptionsTable[Name],OptionsTable[Notes],,,))</f>
        <v/>
      </c>
      <c r="I32" s="194"/>
      <c r="J32" s="194"/>
      <c r="K32" s="43">
        <f>_xlfn.XLOOKUP(A32,OptionsTable[Name],OptionsTable[TL],,,)</f>
        <v>7</v>
      </c>
      <c r="N32" s="5" t="str">
        <f>IF(_xlfn.XLOOKUP(A32,OptionsTable[Name],OptionsTable[Trait],,,)="","",_xlfn.XLOOKUP(A32,OptionsTable[Name],OptionsTable[Trait],,,))</f>
        <v/>
      </c>
      <c r="O32" s="5" t="str">
        <f>IF(_xlfn.XLOOKUP(A32,OptionsTable[Name],OptionsTable[Skill],,,)="","",_xlfn.XLOOKUP(A32,OptionsTable[Name],OptionsTable[Skill],,,))</f>
        <v/>
      </c>
      <c r="P32" s="136">
        <f>_xlfn.XLOOKUP(A32,OptionsTable[Name],OptionsTable[DS],,,)*F32</f>
        <v>0</v>
      </c>
      <c r="R32" s="203"/>
      <c r="S32" s="204"/>
      <c r="T32" s="204"/>
      <c r="U32" s="204"/>
      <c r="V32" s="204"/>
      <c r="W32" s="204"/>
      <c r="X32" s="204"/>
      <c r="Y32" s="204"/>
      <c r="Z32" s="205"/>
    </row>
    <row r="33" spans="1:26" ht="12" customHeight="1" x14ac:dyDescent="0.35">
      <c r="A33" s="191" t="s">
        <v>41</v>
      </c>
      <c r="B33" s="192"/>
      <c r="C33" s="192"/>
      <c r="D33" s="192"/>
      <c r="E33" s="100">
        <f>_xlfn.XLOOKUP(A33,OptionsTable[Name],OptionsTable[Slots],,,)</f>
        <v>0</v>
      </c>
      <c r="F33" s="37">
        <f>IF(_xlfn.XLOOKUP(A33,OptionsTable[Name],OptionsTable[xS],,,)=FALSE,1,$E$4)</f>
        <v>1</v>
      </c>
      <c r="G33" s="37"/>
      <c r="H33" s="193" t="str">
        <f>IF(_xlfn.XLOOKUP(A33,OptionsTable[Name],OptionsTable[Notes],,,)="","",_xlfn.XLOOKUP(A33,OptionsTable[Name],OptionsTable[Notes],,,))</f>
        <v/>
      </c>
      <c r="I33" s="194"/>
      <c r="J33" s="194"/>
      <c r="K33" s="43">
        <f>_xlfn.XLOOKUP(A33,OptionsTable[Name],OptionsTable[TL],,,)</f>
        <v>8</v>
      </c>
      <c r="N33" s="5" t="str">
        <f>IF(_xlfn.XLOOKUP(A33,OptionsTable[Name],OptionsTable[Trait],,,)="","",_xlfn.XLOOKUP(A33,OptionsTable[Name],OptionsTable[Trait],,,))</f>
        <v/>
      </c>
      <c r="O33" s="5" t="str">
        <f>IF(_xlfn.XLOOKUP(A33,OptionsTable[Name],OptionsTable[Skill],,,)="","",_xlfn.XLOOKUP(A33,OptionsTable[Name],OptionsTable[Skill],,,))</f>
        <v/>
      </c>
      <c r="P33" s="136">
        <f>_xlfn.XLOOKUP(A33,OptionsTable[Name],OptionsTable[DS],,,)*F33</f>
        <v>0</v>
      </c>
      <c r="R33" s="203"/>
      <c r="S33" s="204"/>
      <c r="T33" s="204"/>
      <c r="U33" s="204"/>
      <c r="V33" s="204"/>
      <c r="W33" s="204"/>
      <c r="X33" s="204"/>
      <c r="Y33" s="204"/>
      <c r="Z33" s="205"/>
    </row>
    <row r="34" spans="1:26" ht="12" customHeight="1" thickBot="1" x14ac:dyDescent="0.4">
      <c r="A34" s="195" t="s">
        <v>42</v>
      </c>
      <c r="B34" s="196"/>
      <c r="C34" s="196"/>
      <c r="D34" s="196"/>
      <c r="E34" s="100">
        <f>_xlfn.XLOOKUP(A34,OptionsTable[Name],OptionsTable[Slots],,,)</f>
        <v>0</v>
      </c>
      <c r="F34" s="38">
        <f>IF(_xlfn.XLOOKUP(A34,OptionsTable[Name],OptionsTable[xS],,,)=FALSE,1,$E$4)</f>
        <v>1</v>
      </c>
      <c r="G34" s="38"/>
      <c r="H34" s="193" t="str">
        <f>IF(_xlfn.XLOOKUP(A34,OptionsTable[Name],OptionsTable[Notes],,,)="","",_xlfn.XLOOKUP(A34,OptionsTable[Name],OptionsTable[Notes],,,))</f>
        <v>50m range</v>
      </c>
      <c r="I34" s="194"/>
      <c r="J34" s="194"/>
      <c r="K34" s="42">
        <f>_xlfn.XLOOKUP(A34,OptionsTable[Name],OptionsTable[TL],,,)</f>
        <v>8</v>
      </c>
      <c r="L34" s="18"/>
      <c r="M34" s="24"/>
      <c r="N34" s="25" t="str">
        <f>IF(_xlfn.XLOOKUP(A34,OptionsTable[Name],OptionsTable[Trait],,,)="","",_xlfn.XLOOKUP(A34,OptionsTable[Name],OptionsTable[Trait],,,))</f>
        <v/>
      </c>
      <c r="O34" s="25" t="str">
        <f>IF(_xlfn.XLOOKUP(A34,OptionsTable[Name],OptionsTable[Skill],,,)="","",_xlfn.XLOOKUP(A34,OptionsTable[Name],OptionsTable[Skill],,,))</f>
        <v/>
      </c>
      <c r="P34" s="135">
        <f>_xlfn.XLOOKUP(A34,OptionsTable[Name],OptionsTable[DS],,,)*F34</f>
        <v>0</v>
      </c>
      <c r="R34" s="203"/>
      <c r="S34" s="204"/>
      <c r="T34" s="204"/>
      <c r="U34" s="204"/>
      <c r="V34" s="204"/>
      <c r="W34" s="204"/>
      <c r="X34" s="204"/>
      <c r="Y34" s="204"/>
      <c r="Z34" s="205"/>
    </row>
    <row r="35" spans="1:26" ht="12" customHeight="1" thickBot="1" x14ac:dyDescent="0.4">
      <c r="A35" s="63" t="s">
        <v>212</v>
      </c>
      <c r="B35" s="63"/>
      <c r="C35" s="63"/>
      <c r="D35" s="63"/>
      <c r="E35" s="63"/>
      <c r="F35" s="38"/>
      <c r="G35" s="64" t="s">
        <v>191</v>
      </c>
      <c r="H35" s="197" t="s">
        <v>301</v>
      </c>
      <c r="I35" s="198"/>
      <c r="J35" s="199"/>
      <c r="K35" s="76" t="s">
        <v>4</v>
      </c>
      <c r="L35" s="126" t="s">
        <v>627</v>
      </c>
      <c r="M35" s="63"/>
      <c r="N35" s="63" t="s">
        <v>25</v>
      </c>
      <c r="O35" s="63" t="s">
        <v>90</v>
      </c>
      <c r="P35" s="134" t="s">
        <v>5</v>
      </c>
      <c r="R35" s="203"/>
      <c r="S35" s="204"/>
      <c r="T35" s="204"/>
      <c r="U35" s="204"/>
      <c r="V35" s="204"/>
      <c r="W35" s="204"/>
      <c r="X35" s="204"/>
      <c r="Y35" s="204"/>
      <c r="Z35" s="205"/>
    </row>
    <row r="36" spans="1:26" ht="12" customHeight="1" x14ac:dyDescent="0.35">
      <c r="A36" s="191" t="s">
        <v>194</v>
      </c>
      <c r="B36" s="192"/>
      <c r="C36" s="192"/>
      <c r="D36" s="192"/>
      <c r="E36" s="100">
        <f>IF(AND($B$4=0,_xlfn.XLOOKUP(A36,OptionsTable[Name],OptionsTable[Size0],,,)=TRUE),0,IF(_xlfn.XLOOKUP(A36,OptionsTable[Name],OptionsTable[pSlot],,,)=0,IF(G36="",-_xlfn.XLOOKUP(A36,OptionsTable[Name],OptionsTable[Slots],,,),-_xlfn.XLOOKUP(A36,OptionsTable[Name],OptionsTable[Slots],,,)*G36),-MAX(ROUNDUP(_xlfn.XLOOKUP(A36,OptionsTable[Name],OptionsTable[pSlot],,,)*$E$4,0),1)))</f>
        <v>-2</v>
      </c>
      <c r="F36" s="37">
        <f>IF(_xlfn.XLOOKUP(A36,OptionsTable[Name],OptionsTable[xS],,,)=FALSE,1,IF($B$4&gt;0,$E$4,1))</f>
        <v>1</v>
      </c>
      <c r="G36" s="57"/>
      <c r="H36" s="193" t="str">
        <f>IF(_xlfn.XLOOKUP(A36,OptionsTable[Name],OptionsTable[Notes],,,)="","",_xlfn.XLOOKUP(A36,OptionsTable[Name],OptionsTable[Notes],,,))</f>
        <v>2 max skill</v>
      </c>
      <c r="I36" s="194"/>
      <c r="J36" s="194"/>
      <c r="K36" s="43">
        <f>_xlfn.XLOOKUP(A36,OptionsTable[Name],OptionsTable[TL],,,)</f>
        <v>10</v>
      </c>
      <c r="L36" s="119" t="str">
        <f t="shared" ref="L36:L56" si="10">IF(LEFT(A36,7)="Android",1,IF(LEFT(A36,16)="Biological Robot", 1,""))</f>
        <v/>
      </c>
      <c r="N36" s="5" t="str">
        <f>IF(_xlfn.XLOOKUP(A36,OptionsTable[Name],OptionsTable[Trait],,,)="","",_xlfn.XLOOKUP(A36,OptionsTable[Name],OptionsTable[Trait],,,))</f>
        <v/>
      </c>
      <c r="O36" s="5" t="str">
        <f>IF(_xlfn.XLOOKUP(A36,OptionsTable[Name],OptionsTable[Skill],,,)="","",_xlfn.XLOOKUP(A36,OptionsTable[Name],OptionsTable[Skill],,,))</f>
        <v/>
      </c>
      <c r="P36" s="136">
        <f>IF(G36="",_xlfn.XLOOKUP(A36,OptionsTable[Name],OptionsTable[Cost],,,)*F36,_xlfn.XLOOKUP(A36,OptionsTable[Name],OptionsTable[Cost],,,)*F36*G36)</f>
        <v>2000</v>
      </c>
      <c r="R36" s="203"/>
      <c r="S36" s="204"/>
      <c r="T36" s="204"/>
      <c r="U36" s="204"/>
      <c r="V36" s="204"/>
      <c r="W36" s="204"/>
      <c r="X36" s="204"/>
      <c r="Y36" s="204"/>
      <c r="Z36" s="205"/>
    </row>
    <row r="37" spans="1:26" ht="12" customHeight="1" x14ac:dyDescent="0.35">
      <c r="A37" s="191" t="s">
        <v>198</v>
      </c>
      <c r="B37" s="192"/>
      <c r="C37" s="192"/>
      <c r="D37" s="192"/>
      <c r="E37" s="100">
        <f>IF(AND($B$4=0,_xlfn.XLOOKUP(A37,OptionsTable[Name],OptionsTable[Size0],,,)=TRUE),0,IF(_xlfn.XLOOKUP(A37,OptionsTable[Name],OptionsTable[pSlot],,,)=0,IF(G37="",-_xlfn.XLOOKUP(A37,OptionsTable[Name],OptionsTable[Slots],,,),-_xlfn.XLOOKUP(A37,OptionsTable[Name],OptionsTable[Slots],,,)*G37),-MAX(ROUNDUP(_xlfn.XLOOKUP(A37,OptionsTable[Name],OptionsTable[pSlot],,,)*$E$4,0),1)))</f>
        <v>-3</v>
      </c>
      <c r="F37" s="37">
        <f>IF(_xlfn.XLOOKUP(A37,OptionsTable[Name],OptionsTable[xS],,,)=FALSE,1,IF($B$4&gt;0,$E$4,1))</f>
        <v>1</v>
      </c>
      <c r="G37" s="57"/>
      <c r="H37" s="193" t="str">
        <f>IF(_xlfn.XLOOKUP(A37,OptionsTable[Name],OptionsTable[Notes],,,)="","",_xlfn.XLOOKUP(A37,OptionsTable[Name],OptionsTable[Notes],,,))</f>
        <v>2 max skill</v>
      </c>
      <c r="I37" s="194"/>
      <c r="J37" s="194"/>
      <c r="K37" s="43">
        <f>_xlfn.XLOOKUP(A37,OptionsTable[Name],OptionsTable[TL],,,)</f>
        <v>11</v>
      </c>
      <c r="L37" s="119" t="str">
        <f t="shared" si="10"/>
        <v/>
      </c>
      <c r="N37" s="5" t="str">
        <f>IF(_xlfn.XLOOKUP(A37,OptionsTable[Name],OptionsTable[Trait],,,)="","",_xlfn.XLOOKUP(A37,OptionsTable[Name],OptionsTable[Trait],,,))</f>
        <v/>
      </c>
      <c r="O37" s="5" t="str">
        <f>IF(_xlfn.XLOOKUP(A37,OptionsTable[Name],OptionsTable[Skill],,,)="","",_xlfn.XLOOKUP(A37,OptionsTable[Name],OptionsTable[Skill],,,))</f>
        <v/>
      </c>
      <c r="P37" s="136">
        <f>IF(G37="",_xlfn.XLOOKUP(A37,OptionsTable[Name],OptionsTable[Cost],,,)*F37,_xlfn.XLOOKUP(A37,OptionsTable[Name],OptionsTable[Cost],,,)*F37*G37)</f>
        <v>5000</v>
      </c>
      <c r="R37" s="203"/>
      <c r="S37" s="204"/>
      <c r="T37" s="204"/>
      <c r="U37" s="204"/>
      <c r="V37" s="204"/>
      <c r="W37" s="204"/>
      <c r="X37" s="204"/>
      <c r="Y37" s="204"/>
      <c r="Z37" s="205"/>
    </row>
    <row r="38" spans="1:26" ht="12" customHeight="1" x14ac:dyDescent="0.35">
      <c r="A38" s="191" t="s">
        <v>215</v>
      </c>
      <c r="B38" s="192"/>
      <c r="C38" s="192"/>
      <c r="D38" s="192"/>
      <c r="E38" s="100">
        <f>IF(AND($B$4=0,_xlfn.XLOOKUP(A38,OptionsTable[Name],OptionsTable[Size0],,,)=TRUE),0,IF(_xlfn.XLOOKUP(A38,OptionsTable[Name],OptionsTable[pSlot],,,)=0,IF(G38="",-_xlfn.XLOOKUP(A38,OptionsTable[Name],OptionsTable[Slots],,,),-_xlfn.XLOOKUP(A38,OptionsTable[Name],OptionsTable[Slots],,,)*G38),-MAX(ROUNDUP(_xlfn.XLOOKUP(A38,OptionsTable[Name],OptionsTable[pSlot],,,)*$E$4,0),1)))</f>
        <v>0</v>
      </c>
      <c r="F38" s="37">
        <f>IF(_xlfn.XLOOKUP(A38,OptionsTable[Name],OptionsTable[xS],,,)=FALSE,1,IF($B$4&gt;0,$E$4,1))</f>
        <v>1</v>
      </c>
      <c r="G38" s="57"/>
      <c r="H38" s="193" t="str">
        <f>IF(_xlfn.XLOOKUP(A38,OptionsTable[Name],OptionsTable[Notes],,,)="","",_xlfn.XLOOKUP(A38,OptionsTable[Name],OptionsTable[Notes],,,))</f>
        <v/>
      </c>
      <c r="I38" s="194"/>
      <c r="J38" s="194"/>
      <c r="K38" s="43">
        <f>_xlfn.XLOOKUP(A38,OptionsTable[Name],OptionsTable[TL],,,)</f>
        <v>10</v>
      </c>
      <c r="L38" s="119" t="str">
        <f t="shared" si="10"/>
        <v/>
      </c>
      <c r="N38" s="5" t="str">
        <f>IF(_xlfn.XLOOKUP(A38,OptionsTable[Name],OptionsTable[Trait],,,)="","",_xlfn.XLOOKUP(A38,OptionsTable[Name],OptionsTable[Trait],,,))</f>
        <v xml:space="preserve">Heightened Senses, </v>
      </c>
      <c r="O38" s="5" t="str">
        <f>IF(_xlfn.XLOOKUP(A38,OptionsTable[Name],OptionsTable[Skill],,,)="","",_xlfn.XLOOKUP(A38,OptionsTable[Name],OptionsTable[Skill],,,))</f>
        <v/>
      </c>
      <c r="P38" s="136">
        <f>IF(G38="",_xlfn.XLOOKUP(A38,OptionsTable[Name],OptionsTable[Cost],,,)*F38,_xlfn.XLOOKUP(A38,OptionsTable[Name],OptionsTable[Cost],,,)*F38*G38)</f>
        <v>3500</v>
      </c>
      <c r="R38" s="203"/>
      <c r="S38" s="204"/>
      <c r="T38" s="204"/>
      <c r="U38" s="204"/>
      <c r="V38" s="204"/>
      <c r="W38" s="204"/>
      <c r="X38" s="204"/>
      <c r="Y38" s="204"/>
      <c r="Z38" s="205"/>
    </row>
    <row r="39" spans="1:26" ht="12" customHeight="1" x14ac:dyDescent="0.35">
      <c r="A39" s="191" t="s">
        <v>641</v>
      </c>
      <c r="B39" s="192"/>
      <c r="C39" s="192"/>
      <c r="D39" s="192"/>
      <c r="E39" s="100">
        <f>IF(AND($B$4=0,_xlfn.XLOOKUP(A39,OptionsTable[Name],OptionsTable[Size0],,,)=TRUE),0,IF(_xlfn.XLOOKUP(A39,OptionsTable[Name],OptionsTable[pSlot],,,)=0,IF(G39="",-_xlfn.XLOOKUP(A39,OptionsTable[Name],OptionsTable[Slots],,,),-_xlfn.XLOOKUP(A39,OptionsTable[Name],OptionsTable[Slots],,,)*G39),-MAX(ROUNDUP(_xlfn.XLOOKUP(A39,OptionsTable[Name],OptionsTable[pSlot],,,)*$E$4,0),1)))</f>
        <v>-1</v>
      </c>
      <c r="F39" s="37">
        <f>IF(_xlfn.XLOOKUP(A39,OptionsTable[Name],OptionsTable[xS],,,)=FALSE,1,IF($B$4&gt;0,$E$4,1))</f>
        <v>1</v>
      </c>
      <c r="G39" s="57"/>
      <c r="H39" s="193" t="str">
        <f>IF(_xlfn.XLOOKUP(A39,OptionsTable[Name],OptionsTable[Notes],,,)="","",_xlfn.XLOOKUP(A39,OptionsTable[Name],OptionsTable[Notes],,,))</f>
        <v>1 hour recharge</v>
      </c>
      <c r="I39" s="194"/>
      <c r="J39" s="194"/>
      <c r="K39" s="43">
        <f>_xlfn.XLOOKUP(A39,OptionsTable[Name],OptionsTable[TL],,,)</f>
        <v>8</v>
      </c>
      <c r="L39" s="119" t="str">
        <f t="shared" si="10"/>
        <v/>
      </c>
      <c r="N39" s="5" t="str">
        <f>IF(_xlfn.XLOOKUP(A39,OptionsTable[Name],OptionsTable[Trait],,,)="","",_xlfn.XLOOKUP(A39,OptionsTable[Name],OptionsTable[Trait],,,))</f>
        <v/>
      </c>
      <c r="O39" s="5" t="str">
        <f>IF(_xlfn.XLOOKUP(A39,OptionsTable[Name],OptionsTable[Skill],,,)="","",_xlfn.XLOOKUP(A39,OptionsTable[Name],OptionsTable[Skill],,,))</f>
        <v/>
      </c>
      <c r="P39" s="136">
        <f>IF(G39="",_xlfn.XLOOKUP(A39,OptionsTable[Name],OptionsTable[Cost],,,)*F39,_xlfn.XLOOKUP(A39,OptionsTable[Name],OptionsTable[Cost],,,)*F39*G39)</f>
        <v>200</v>
      </c>
      <c r="R39" s="203"/>
      <c r="S39" s="204"/>
      <c r="T39" s="204"/>
      <c r="U39" s="204"/>
      <c r="V39" s="204"/>
      <c r="W39" s="204"/>
      <c r="X39" s="204"/>
      <c r="Y39" s="204"/>
      <c r="Z39" s="205"/>
    </row>
    <row r="40" spans="1:26" ht="12" customHeight="1" x14ac:dyDescent="0.35">
      <c r="A40" s="191" t="s">
        <v>190</v>
      </c>
      <c r="B40" s="192"/>
      <c r="C40" s="192"/>
      <c r="D40" s="192"/>
      <c r="E40" s="100">
        <f>IF(AND($B$4=0,_xlfn.XLOOKUP(A40,OptionsTable[Name],OptionsTable[Size0],,,)=TRUE),0,IF(_xlfn.XLOOKUP(A40,OptionsTable[Name],OptionsTable[pSlot],,,)=0,IF(G40="",-_xlfn.XLOOKUP(A40,OptionsTable[Name],OptionsTable[Slots],,,),-_xlfn.XLOOKUP(A40,OptionsTable[Name],OptionsTable[Slots],,,)*G40),-MAX(ROUNDUP(_xlfn.XLOOKUP(A40,OptionsTable[Name],OptionsTable[pSlot],,,)*$E$4,0),1)))</f>
        <v>-4</v>
      </c>
      <c r="F40" s="37">
        <f>IF(_xlfn.XLOOKUP(A40,OptionsTable[Name],OptionsTable[xS],,,)=FALSE,1,IF($B$4&gt;0,$E$4,1))</f>
        <v>1</v>
      </c>
      <c r="G40" s="57">
        <v>4</v>
      </c>
      <c r="H40" s="193" t="str">
        <f>IF(_xlfn.XLOOKUP(A40,OptionsTable[Name],OptionsTable[Notes],,,)="","",_xlfn.XLOOKUP(A40,OptionsTable[Name],OptionsTable[Notes],,,))</f>
        <v>2 kg or litres / slot</v>
      </c>
      <c r="I40" s="194"/>
      <c r="J40" s="194"/>
      <c r="K40" s="43">
        <f>_xlfn.XLOOKUP(A40,OptionsTable[Name],OptionsTable[TL],,,)</f>
        <v>6</v>
      </c>
      <c r="L40" s="119" t="str">
        <f t="shared" si="10"/>
        <v/>
      </c>
      <c r="N40" s="5" t="str">
        <f>IF(_xlfn.XLOOKUP(A40,OptionsTable[Name],OptionsTable[Trait],,,)="","",_xlfn.XLOOKUP(A40,OptionsTable[Name],OptionsTable[Trait],,,))</f>
        <v/>
      </c>
      <c r="O40" s="5" t="str">
        <f>IF(_xlfn.XLOOKUP(A40,OptionsTable[Name],OptionsTable[Skill],,,)="","",_xlfn.XLOOKUP(A40,OptionsTable[Name],OptionsTable[Skill],,,))</f>
        <v/>
      </c>
      <c r="P40" s="136">
        <f>IF(G40="",_xlfn.XLOOKUP(A40,OptionsTable[Name],OptionsTable[Cost],,,)*F40,_xlfn.XLOOKUP(A40,OptionsTable[Name],OptionsTable[Cost],,,)*F40*G40)</f>
        <v>400</v>
      </c>
      <c r="R40" s="203"/>
      <c r="S40" s="204"/>
      <c r="T40" s="204"/>
      <c r="U40" s="204"/>
      <c r="V40" s="204"/>
      <c r="W40" s="204"/>
      <c r="X40" s="204"/>
      <c r="Y40" s="204"/>
      <c r="Z40" s="205"/>
    </row>
    <row r="41" spans="1:26" ht="12" customHeight="1" x14ac:dyDescent="0.35">
      <c r="A41" s="191" t="s">
        <v>471</v>
      </c>
      <c r="B41" s="192"/>
      <c r="C41" s="192"/>
      <c r="D41" s="192"/>
      <c r="E41" s="100">
        <f>IF(AND($B$4=0,_xlfn.XLOOKUP(A41,OptionsTable[Name],OptionsTable[Size0],,,)=TRUE),0,IF(_xlfn.XLOOKUP(A41,OptionsTable[Name],OptionsTable[pSlot],,,)=0,IF(G41="",-_xlfn.XLOOKUP(A41,OptionsTable[Name],OptionsTable[Slots],,,),-_xlfn.XLOOKUP(A41,OptionsTable[Name],OptionsTable[Slots],,,)*G41),-MAX(ROUNDUP(_xlfn.XLOOKUP(A41,OptionsTable[Name],OptionsTable[pSlot],,,)*$E$4,0),1)))</f>
        <v>-3</v>
      </c>
      <c r="F41" s="37">
        <f>IF(_xlfn.XLOOKUP(A41,OptionsTable[Name],OptionsTable[xS],,,)=FALSE,1,IF($B$4&gt;0,$E$4,1))</f>
        <v>1</v>
      </c>
      <c r="G41" s="57">
        <v>3</v>
      </c>
      <c r="H41" s="193" t="str">
        <f>IF(_xlfn.XLOOKUP(A41,OptionsTable[Name],OptionsTable[Notes],,,)="","",_xlfn.XLOOKUP(A41,OptionsTable[Name],OptionsTable[Notes],,,))</f>
        <v>2 kg or litres / slot</v>
      </c>
      <c r="I41" s="194"/>
      <c r="J41" s="194"/>
      <c r="K41" s="43">
        <f>_xlfn.XLOOKUP(A41,OptionsTable[Name],OptionsTable[TL],,,)</f>
        <v>6</v>
      </c>
      <c r="L41" s="119" t="str">
        <f t="shared" si="10"/>
        <v/>
      </c>
      <c r="N41" s="5" t="str">
        <f>IF(_xlfn.XLOOKUP(A41,OptionsTable[Name],OptionsTable[Trait],,,)="","",_xlfn.XLOOKUP(A41,OptionsTable[Name],OptionsTable[Trait],,,))</f>
        <v/>
      </c>
      <c r="O41" s="5" t="str">
        <f>IF(_xlfn.XLOOKUP(A41,OptionsTable[Name],OptionsTable[Skill],,,)="","",_xlfn.XLOOKUP(A41,OptionsTable[Name],OptionsTable[Skill],,,))</f>
        <v/>
      </c>
      <c r="P41" s="136">
        <f>IF(G41="",_xlfn.XLOOKUP(A41,OptionsTable[Name],OptionsTable[Cost],,,)*F41,_xlfn.XLOOKUP(A41,OptionsTable[Name],OptionsTable[Cost],,,)*F41*G41)</f>
        <v>150</v>
      </c>
      <c r="R41" s="203"/>
      <c r="S41" s="204"/>
      <c r="T41" s="204"/>
      <c r="U41" s="204"/>
      <c r="V41" s="204"/>
      <c r="W41" s="204"/>
      <c r="X41" s="204"/>
      <c r="Y41" s="204"/>
      <c r="Z41" s="205"/>
    </row>
    <row r="42" spans="1:26" ht="12" customHeight="1" x14ac:dyDescent="0.35">
      <c r="A42" s="191" t="s">
        <v>100</v>
      </c>
      <c r="B42" s="192"/>
      <c r="C42" s="192"/>
      <c r="D42" s="192"/>
      <c r="E42" s="100">
        <f>IF(AND($B$4=0,_xlfn.XLOOKUP(A42,OptionsTable[Name],OptionsTable[Size0],,,)=TRUE),0,IF(_xlfn.XLOOKUP(A42,OptionsTable[Name],OptionsTable[pSlot],,,)=0,IF(G42="",-_xlfn.XLOOKUP(A42,OptionsTable[Name],OptionsTable[Slots],,,),-_xlfn.XLOOKUP(A42,OptionsTable[Name],OptionsTable[Slots],,,)*G42),-MAX(ROUNDUP(_xlfn.XLOOKUP(A42,OptionsTable[Name],OptionsTable[pSlot],,,)*$E$4,0),1)))</f>
        <v>0</v>
      </c>
      <c r="F42" s="37">
        <f>IF(_xlfn.XLOOKUP(A42,OptionsTable[Name],OptionsTable[xS],,,)=FALSE,1,IF($B$4&gt;0,$E$4,1))</f>
        <v>16</v>
      </c>
      <c r="G42" s="57"/>
      <c r="H42" s="193" t="str">
        <f>IF(_xlfn.XLOOKUP(A42,OptionsTable[Name],OptionsTable[Notes],,,)="","",_xlfn.XLOOKUP(A42,OptionsTable[Name],OptionsTable[Notes],,,))</f>
        <v>+ Hostile env</v>
      </c>
      <c r="I42" s="194"/>
      <c r="J42" s="194"/>
      <c r="K42" s="43">
        <f>_xlfn.XLOOKUP(A42,OptionsTable[Name],OptionsTable[TL],,,)</f>
        <v>6</v>
      </c>
      <c r="L42" s="119" t="str">
        <f t="shared" si="10"/>
        <v/>
      </c>
      <c r="N42" s="5" t="str">
        <f>IF(_xlfn.XLOOKUP(A42,OptionsTable[Name],OptionsTable[Trait],,,)="","",_xlfn.XLOOKUP(A42,OptionsTable[Name],OptionsTable[Trait],,,))</f>
        <v/>
      </c>
      <c r="O42" s="5" t="str">
        <f>IF(_xlfn.XLOOKUP(A42,OptionsTable[Name],OptionsTable[Skill],,,)="","",_xlfn.XLOOKUP(A42,OptionsTable[Name],OptionsTable[Skill],,,))</f>
        <v/>
      </c>
      <c r="P42" s="136">
        <f>IF(G42="",_xlfn.XLOOKUP(A42,OptionsTable[Name],OptionsTable[Cost],,,)*F42,_xlfn.XLOOKUP(A42,OptionsTable[Name],OptionsTable[Cost],,,)*F42*G42)</f>
        <v>9600</v>
      </c>
      <c r="R42" s="203"/>
      <c r="S42" s="204"/>
      <c r="T42" s="204"/>
      <c r="U42" s="204"/>
      <c r="V42" s="204"/>
      <c r="W42" s="204"/>
      <c r="X42" s="204"/>
      <c r="Y42" s="204"/>
      <c r="Z42" s="205"/>
    </row>
    <row r="43" spans="1:26" ht="12" customHeight="1" x14ac:dyDescent="0.35">
      <c r="A43" s="191"/>
      <c r="B43" s="192"/>
      <c r="C43" s="192"/>
      <c r="D43" s="192"/>
      <c r="E43" s="100">
        <f>IF(AND($B$4=0,_xlfn.XLOOKUP(A43,OptionsTable[Name],OptionsTable[Size0],,,)=TRUE),0,IF(_xlfn.XLOOKUP(A43,OptionsTable[Name],OptionsTable[pSlot],,,)=0,IF(G43="",-_xlfn.XLOOKUP(A43,OptionsTable[Name],OptionsTable[Slots],,,),-_xlfn.XLOOKUP(A43,OptionsTable[Name],OptionsTable[Slots],,,)*G43),-MAX(ROUNDUP(_xlfn.XLOOKUP(A43,OptionsTable[Name],OptionsTable[pSlot],,,)*$E$4,0),1)))</f>
        <v>0</v>
      </c>
      <c r="F43" s="37">
        <f>IF(_xlfn.XLOOKUP(A43,OptionsTable[Name],OptionsTable[xS],,,)=FALSE,1,IF($B$4&gt;0,$E$4,1))</f>
        <v>1</v>
      </c>
      <c r="G43" s="57"/>
      <c r="H43" s="193" t="str">
        <f>IF(_xlfn.XLOOKUP(A43,OptionsTable[Name],OptionsTable[Notes],,,)="","",_xlfn.XLOOKUP(A43,OptionsTable[Name],OptionsTable[Notes],,,))</f>
        <v/>
      </c>
      <c r="I43" s="194"/>
      <c r="J43" s="194"/>
      <c r="K43" s="43">
        <f>_xlfn.XLOOKUP(A43,OptionsTable[Name],OptionsTable[TL],,,)</f>
        <v>0</v>
      </c>
      <c r="L43" s="119" t="str">
        <f t="shared" si="10"/>
        <v/>
      </c>
      <c r="N43" s="5" t="str">
        <f>IF(_xlfn.XLOOKUP(A43,OptionsTable[Name],OptionsTable[Trait],,,)="","",_xlfn.XLOOKUP(A43,OptionsTable[Name],OptionsTable[Trait],,,))</f>
        <v/>
      </c>
      <c r="O43" s="5" t="str">
        <f>IF(_xlfn.XLOOKUP(A43,OptionsTable[Name],OptionsTable[Skill],,,)="","",_xlfn.XLOOKUP(A43,OptionsTable[Name],OptionsTable[Skill],,,))</f>
        <v/>
      </c>
      <c r="P43" s="136">
        <f>IF(G43="",_xlfn.XLOOKUP(A43,OptionsTable[Name],OptionsTable[Cost],,,)*F43,_xlfn.XLOOKUP(A43,OptionsTable[Name],OptionsTable[Cost],,,)*F43*G43)</f>
        <v>0</v>
      </c>
      <c r="R43" s="203"/>
      <c r="S43" s="204"/>
      <c r="T43" s="204"/>
      <c r="U43" s="204"/>
      <c r="V43" s="204"/>
      <c r="W43" s="204"/>
      <c r="X43" s="204"/>
      <c r="Y43" s="204"/>
      <c r="Z43" s="205"/>
    </row>
    <row r="44" spans="1:26" ht="12" customHeight="1" x14ac:dyDescent="0.35">
      <c r="A44" s="191"/>
      <c r="B44" s="192"/>
      <c r="C44" s="192"/>
      <c r="D44" s="192"/>
      <c r="E44" s="100">
        <f>IF(AND($B$4=0,_xlfn.XLOOKUP(A44,OptionsTable[Name],OptionsTable[Size0],,,)=TRUE),0,IF(_xlfn.XLOOKUP(A44,OptionsTable[Name],OptionsTable[pSlot],,,)=0,IF(G44="",-_xlfn.XLOOKUP(A44,OptionsTable[Name],OptionsTable[Slots],,,),-_xlfn.XLOOKUP(A44,OptionsTable[Name],OptionsTable[Slots],,,)*G44),-MAX(ROUNDUP(_xlfn.XLOOKUP(A44,OptionsTable[Name],OptionsTable[pSlot],,,)*$E$4,0),1)))</f>
        <v>0</v>
      </c>
      <c r="F44" s="37">
        <f>IF(_xlfn.XLOOKUP(A44,OptionsTable[Name],OptionsTable[xS],,,)=FALSE,1,IF($B$4&gt;0,$E$4,1))</f>
        <v>1</v>
      </c>
      <c r="G44" s="57"/>
      <c r="H44" s="193" t="str">
        <f>IF(_xlfn.XLOOKUP(A44,OptionsTable[Name],OptionsTable[Notes],,,)="","",_xlfn.XLOOKUP(A44,OptionsTable[Name],OptionsTable[Notes],,,))</f>
        <v/>
      </c>
      <c r="I44" s="194"/>
      <c r="J44" s="194"/>
      <c r="K44" s="43">
        <f>_xlfn.XLOOKUP(A44,OptionsTable[Name],OptionsTable[TL],,,)</f>
        <v>0</v>
      </c>
      <c r="L44" s="119" t="str">
        <f t="shared" si="10"/>
        <v/>
      </c>
      <c r="N44" s="5" t="str">
        <f>IF(_xlfn.XLOOKUP(A44,OptionsTable[Name],OptionsTable[Trait],,,)="","",_xlfn.XLOOKUP(A44,OptionsTable[Name],OptionsTable[Trait],,,))</f>
        <v/>
      </c>
      <c r="O44" s="5" t="str">
        <f>IF(_xlfn.XLOOKUP(A44,OptionsTable[Name],OptionsTable[Skill],,,)="","",_xlfn.XLOOKUP(A44,OptionsTable[Name],OptionsTable[Skill],,,))</f>
        <v/>
      </c>
      <c r="P44" s="136">
        <f>IF(G44="",_xlfn.XLOOKUP(A44,OptionsTable[Name],OptionsTable[Cost],,,)*F44,_xlfn.XLOOKUP(A44,OptionsTable[Name],OptionsTable[Cost],,,)*F44*G44)</f>
        <v>0</v>
      </c>
      <c r="R44" s="203"/>
      <c r="S44" s="204"/>
      <c r="T44" s="204"/>
      <c r="U44" s="204"/>
      <c r="V44" s="204"/>
      <c r="W44" s="204"/>
      <c r="X44" s="204"/>
      <c r="Y44" s="204"/>
      <c r="Z44" s="205"/>
    </row>
    <row r="45" spans="1:26" ht="12" customHeight="1" x14ac:dyDescent="0.35">
      <c r="A45" s="191"/>
      <c r="B45" s="192"/>
      <c r="C45" s="192"/>
      <c r="D45" s="192"/>
      <c r="E45" s="100">
        <f>IF(AND($B$4=0,_xlfn.XLOOKUP(A45,OptionsTable[Name],OptionsTable[Size0],,,)=TRUE),0,IF(_xlfn.XLOOKUP(A45,OptionsTable[Name],OptionsTable[pSlot],,,)=0,IF(G45="",-_xlfn.XLOOKUP(A45,OptionsTable[Name],OptionsTable[Slots],,,),-_xlfn.XLOOKUP(A45,OptionsTable[Name],OptionsTable[Slots],,,)*G45),-MAX(ROUNDUP(_xlfn.XLOOKUP(A45,OptionsTable[Name],OptionsTable[pSlot],,,)*$E$4,0),1)))</f>
        <v>0</v>
      </c>
      <c r="F45" s="37">
        <f>IF(_xlfn.XLOOKUP(A45,OptionsTable[Name],OptionsTable[xS],,,)=FALSE,1,IF($B$4&gt;0,$E$4,1))</f>
        <v>1</v>
      </c>
      <c r="G45" s="57"/>
      <c r="H45" s="193" t="str">
        <f>IF(_xlfn.XLOOKUP(A45,OptionsTable[Name],OptionsTable[Notes],,,)="","",_xlfn.XLOOKUP(A45,OptionsTable[Name],OptionsTable[Notes],,,))</f>
        <v/>
      </c>
      <c r="I45" s="194"/>
      <c r="J45" s="194"/>
      <c r="K45" s="43">
        <f>_xlfn.XLOOKUP(A45,OptionsTable[Name],OptionsTable[TL],,,)</f>
        <v>0</v>
      </c>
      <c r="L45" s="119" t="str">
        <f t="shared" si="10"/>
        <v/>
      </c>
      <c r="N45" s="5" t="str">
        <f>IF(_xlfn.XLOOKUP(A45,OptionsTable[Name],OptionsTable[Trait],,,)="","",_xlfn.XLOOKUP(A45,OptionsTable[Name],OptionsTable[Trait],,,))</f>
        <v/>
      </c>
      <c r="O45" s="5" t="str">
        <f>IF(_xlfn.XLOOKUP(A45,OptionsTable[Name],OptionsTable[Skill],,,)="","",_xlfn.XLOOKUP(A45,OptionsTable[Name],OptionsTable[Skill],,,))</f>
        <v/>
      </c>
      <c r="P45" s="136">
        <f>IF(G45="",_xlfn.XLOOKUP(A45,OptionsTable[Name],OptionsTable[Cost],,,)*F45,_xlfn.XLOOKUP(A45,OptionsTable[Name],OptionsTable[Cost],,,)*F45*G45)</f>
        <v>0</v>
      </c>
      <c r="R45" s="203"/>
      <c r="S45" s="204"/>
      <c r="T45" s="204"/>
      <c r="U45" s="204"/>
      <c r="V45" s="204"/>
      <c r="W45" s="204"/>
      <c r="X45" s="204"/>
      <c r="Y45" s="204"/>
      <c r="Z45" s="205"/>
    </row>
    <row r="46" spans="1:26" ht="12" customHeight="1" x14ac:dyDescent="0.35">
      <c r="A46" s="191"/>
      <c r="B46" s="192"/>
      <c r="C46" s="192"/>
      <c r="D46" s="192"/>
      <c r="E46" s="100">
        <f>IF(AND($B$4=0,_xlfn.XLOOKUP(A46,OptionsTable[Name],OptionsTable[Size0],,,)=TRUE),0,IF(_xlfn.XLOOKUP(A46,OptionsTable[Name],OptionsTable[pSlot],,,)=0,IF(G46="",-_xlfn.XLOOKUP(A46,OptionsTable[Name],OptionsTable[Slots],,,),-_xlfn.XLOOKUP(A46,OptionsTable[Name],OptionsTable[Slots],,,)*G46),-MAX(ROUNDUP(_xlfn.XLOOKUP(A46,OptionsTable[Name],OptionsTable[pSlot],,,)*$E$4,0),1)))</f>
        <v>0</v>
      </c>
      <c r="F46" s="37">
        <f>IF(_xlfn.XLOOKUP(A46,OptionsTable[Name],OptionsTable[xS],,,)=FALSE,1,IF($B$4&gt;0,$E$4,1))</f>
        <v>1</v>
      </c>
      <c r="G46" s="57"/>
      <c r="H46" s="193" t="str">
        <f>IF(_xlfn.XLOOKUP(A46,OptionsTable[Name],OptionsTable[Notes],,,)="","",_xlfn.XLOOKUP(A46,OptionsTable[Name],OptionsTable[Notes],,,))</f>
        <v/>
      </c>
      <c r="I46" s="194"/>
      <c r="J46" s="194"/>
      <c r="K46" s="43">
        <f>_xlfn.XLOOKUP(A46,OptionsTable[Name],OptionsTable[TL],,,)</f>
        <v>0</v>
      </c>
      <c r="L46" s="119" t="str">
        <f t="shared" si="10"/>
        <v/>
      </c>
      <c r="N46" s="5" t="str">
        <f>IF(_xlfn.XLOOKUP(A46,OptionsTable[Name],OptionsTable[Trait],,,)="","",_xlfn.XLOOKUP(A46,OptionsTable[Name],OptionsTable[Trait],,,))</f>
        <v/>
      </c>
      <c r="O46" s="5" t="str">
        <f>IF(_xlfn.XLOOKUP(A46,OptionsTable[Name],OptionsTable[Skill],,,)="","",_xlfn.XLOOKUP(A46,OptionsTable[Name],OptionsTable[Skill],,,))</f>
        <v/>
      </c>
      <c r="P46" s="136">
        <f>IF(G46="",_xlfn.XLOOKUP(A46,OptionsTable[Name],OptionsTable[Cost],,,)*F46,_xlfn.XLOOKUP(A46,OptionsTable[Name],OptionsTable[Cost],,,)*F46*G46)</f>
        <v>0</v>
      </c>
      <c r="R46" s="203"/>
      <c r="S46" s="204"/>
      <c r="T46" s="204"/>
      <c r="U46" s="204"/>
      <c r="V46" s="204"/>
      <c r="W46" s="204"/>
      <c r="X46" s="204"/>
      <c r="Y46" s="204"/>
      <c r="Z46" s="205"/>
    </row>
    <row r="47" spans="1:26" ht="12" customHeight="1" x14ac:dyDescent="0.35">
      <c r="A47" s="191"/>
      <c r="B47" s="192"/>
      <c r="C47" s="192"/>
      <c r="D47" s="192"/>
      <c r="E47" s="100">
        <f>IF(AND($B$4=0,_xlfn.XLOOKUP(A47,OptionsTable[Name],OptionsTable[Size0],,,)=TRUE),0,IF(_xlfn.XLOOKUP(A47,OptionsTable[Name],OptionsTable[pSlot],,,)=0,IF(G47="",-_xlfn.XLOOKUP(A47,OptionsTable[Name],OptionsTable[Slots],,,),-_xlfn.XLOOKUP(A47,OptionsTable[Name],OptionsTable[Slots],,,)*G47),-MAX(ROUNDUP(_xlfn.XLOOKUP(A47,OptionsTable[Name],OptionsTable[pSlot],,,)*$E$4,0),1)))</f>
        <v>0</v>
      </c>
      <c r="F47" s="37">
        <f>IF(_xlfn.XLOOKUP(A47,OptionsTable[Name],OptionsTable[xS],,,)=FALSE,1,IF($B$4&gt;0,$E$4,1))</f>
        <v>1</v>
      </c>
      <c r="G47" s="57"/>
      <c r="H47" s="193" t="str">
        <f>IF(_xlfn.XLOOKUP(A47,OptionsTable[Name],OptionsTable[Notes],,,)="","",_xlfn.XLOOKUP(A47,OptionsTable[Name],OptionsTable[Notes],,,))</f>
        <v/>
      </c>
      <c r="I47" s="194"/>
      <c r="J47" s="194"/>
      <c r="K47" s="43">
        <f>_xlfn.XLOOKUP(A47,OptionsTable[Name],OptionsTable[TL],,,)</f>
        <v>0</v>
      </c>
      <c r="L47" s="119" t="str">
        <f t="shared" si="10"/>
        <v/>
      </c>
      <c r="N47" s="5" t="str">
        <f>IF(_xlfn.XLOOKUP(A47,OptionsTable[Name],OptionsTable[Trait],,,)="","",_xlfn.XLOOKUP(A47,OptionsTable[Name],OptionsTable[Trait],,,))</f>
        <v/>
      </c>
      <c r="O47" s="5" t="str">
        <f>IF(_xlfn.XLOOKUP(A47,OptionsTable[Name],OptionsTable[Skill],,,)="","",_xlfn.XLOOKUP(A47,OptionsTable[Name],OptionsTable[Skill],,,))</f>
        <v/>
      </c>
      <c r="P47" s="136">
        <f>IF(G47="",_xlfn.XLOOKUP(A47,OptionsTable[Name],OptionsTable[Cost],,,)*F47,_xlfn.XLOOKUP(A47,OptionsTable[Name],OptionsTable[Cost],,,)*F47*G47)</f>
        <v>0</v>
      </c>
      <c r="R47" s="203"/>
      <c r="S47" s="204"/>
      <c r="T47" s="204"/>
      <c r="U47" s="204"/>
      <c r="V47" s="204"/>
      <c r="W47" s="204"/>
      <c r="X47" s="204"/>
      <c r="Y47" s="204"/>
      <c r="Z47" s="205"/>
    </row>
    <row r="48" spans="1:26" ht="12" customHeight="1" x14ac:dyDescent="0.35">
      <c r="A48" s="191"/>
      <c r="B48" s="192"/>
      <c r="C48" s="192"/>
      <c r="D48" s="192"/>
      <c r="E48" s="100">
        <f>IF(AND($B$4=0,_xlfn.XLOOKUP(A48,OptionsTable[Name],OptionsTable[Size0],,,)=TRUE),0,IF(_xlfn.XLOOKUP(A48,OptionsTable[Name],OptionsTable[pSlot],,,)=0,IF(G48="",-_xlfn.XLOOKUP(A48,OptionsTable[Name],OptionsTable[Slots],,,),-_xlfn.XLOOKUP(A48,OptionsTable[Name],OptionsTable[Slots],,,)*G48),-MAX(ROUNDUP(_xlfn.XLOOKUP(A48,OptionsTable[Name],OptionsTable[pSlot],,,)*$E$4,0),1)))</f>
        <v>0</v>
      </c>
      <c r="F48" s="37">
        <f>IF(_xlfn.XLOOKUP(A48,OptionsTable[Name],OptionsTable[xS],,,)=FALSE,1,IF($B$4&gt;0,$E$4,1))</f>
        <v>1</v>
      </c>
      <c r="G48" s="57"/>
      <c r="H48" s="193" t="str">
        <f>IF(_xlfn.XLOOKUP(A48,OptionsTable[Name],OptionsTable[Notes],,,)="","",_xlfn.XLOOKUP(A48,OptionsTable[Name],OptionsTable[Notes],,,))</f>
        <v/>
      </c>
      <c r="I48" s="194"/>
      <c r="J48" s="194"/>
      <c r="K48" s="43">
        <f>_xlfn.XLOOKUP(A48,OptionsTable[Name],OptionsTable[TL],,,)</f>
        <v>0</v>
      </c>
      <c r="L48" s="119" t="str">
        <f t="shared" si="10"/>
        <v/>
      </c>
      <c r="N48" s="5" t="str">
        <f>IF(_xlfn.XLOOKUP(A48,OptionsTable[Name],OptionsTable[Trait],,,)="","",_xlfn.XLOOKUP(A48,OptionsTable[Name],OptionsTable[Trait],,,))</f>
        <v/>
      </c>
      <c r="O48" s="5" t="str">
        <f>IF(_xlfn.XLOOKUP(A48,OptionsTable[Name],OptionsTable[Skill],,,)="","",_xlfn.XLOOKUP(A48,OptionsTable[Name],OptionsTable[Skill],,,))</f>
        <v/>
      </c>
      <c r="P48" s="136">
        <f>IF(G48="",_xlfn.XLOOKUP(A48,OptionsTable[Name],OptionsTable[Cost],,,)*F48,_xlfn.XLOOKUP(A48,OptionsTable[Name],OptionsTable[Cost],,,)*F48*G48)</f>
        <v>0</v>
      </c>
      <c r="R48" s="203"/>
      <c r="S48" s="204"/>
      <c r="T48" s="204"/>
      <c r="U48" s="204"/>
      <c r="V48" s="204"/>
      <c r="W48" s="204"/>
      <c r="X48" s="204"/>
      <c r="Y48" s="204"/>
      <c r="Z48" s="205"/>
    </row>
    <row r="49" spans="1:26" ht="12" customHeight="1" x14ac:dyDescent="0.35">
      <c r="A49" s="191"/>
      <c r="B49" s="192"/>
      <c r="C49" s="192"/>
      <c r="D49" s="192"/>
      <c r="E49" s="100">
        <f>IF(AND($B$4=0,_xlfn.XLOOKUP(A49,OptionsTable[Name],OptionsTable[Size0],,,)=TRUE),0,IF(_xlfn.XLOOKUP(A49,OptionsTable[Name],OptionsTable[pSlot],,,)=0,IF(G49="",-_xlfn.XLOOKUP(A49,OptionsTable[Name],OptionsTable[Slots],,,),-_xlfn.XLOOKUP(A49,OptionsTable[Name],OptionsTable[Slots],,,)*G49),-MAX(ROUNDUP(_xlfn.XLOOKUP(A49,OptionsTable[Name],OptionsTable[pSlot],,,)*$E$4,0),1)))</f>
        <v>0</v>
      </c>
      <c r="F49" s="37">
        <f>IF(_xlfn.XLOOKUP(A49,OptionsTable[Name],OptionsTable[xS],,,)=FALSE,1,IF($B$4&gt;0,$E$4,1))</f>
        <v>1</v>
      </c>
      <c r="G49" s="57"/>
      <c r="H49" s="193" t="str">
        <f>IF(_xlfn.XLOOKUP(A49,OptionsTable[Name],OptionsTable[Notes],,,)="","",_xlfn.XLOOKUP(A49,OptionsTable[Name],OptionsTable[Notes],,,))</f>
        <v/>
      </c>
      <c r="I49" s="194"/>
      <c r="J49" s="194"/>
      <c r="K49" s="43">
        <f>_xlfn.XLOOKUP(A49,OptionsTable[Name],OptionsTable[TL],,,)</f>
        <v>0</v>
      </c>
      <c r="L49" s="119" t="str">
        <f t="shared" si="10"/>
        <v/>
      </c>
      <c r="N49" s="5" t="str">
        <f>IF(_xlfn.XLOOKUP(A49,OptionsTable[Name],OptionsTable[Trait],,,)="","",_xlfn.XLOOKUP(A49,OptionsTable[Name],OptionsTable[Trait],,,))</f>
        <v/>
      </c>
      <c r="O49" s="5" t="str">
        <f>IF(_xlfn.XLOOKUP(A49,OptionsTable[Name],OptionsTable[Skill],,,)="","",_xlfn.XLOOKUP(A49,OptionsTable[Name],OptionsTable[Skill],,,))</f>
        <v/>
      </c>
      <c r="P49" s="136">
        <f>IF(G49="",_xlfn.XLOOKUP(A49,OptionsTable[Name],OptionsTable[Cost],,,)*F49,_xlfn.XLOOKUP(A49,OptionsTable[Name],OptionsTable[Cost],,,)*F49*G49)</f>
        <v>0</v>
      </c>
      <c r="R49" s="203"/>
      <c r="S49" s="204"/>
      <c r="T49" s="204"/>
      <c r="U49" s="204"/>
      <c r="V49" s="204"/>
      <c r="W49" s="204"/>
      <c r="X49" s="204"/>
      <c r="Y49" s="204"/>
      <c r="Z49" s="205"/>
    </row>
    <row r="50" spans="1:26" ht="12" customHeight="1" x14ac:dyDescent="0.35">
      <c r="A50" s="191"/>
      <c r="B50" s="192"/>
      <c r="C50" s="192"/>
      <c r="D50" s="192"/>
      <c r="E50" s="100">
        <f>IF(AND($B$4=0,_xlfn.XLOOKUP(A50,OptionsTable[Name],OptionsTable[Size0],,,)=TRUE),0,IF(_xlfn.XLOOKUP(A50,OptionsTable[Name],OptionsTable[pSlot],,,)=0,IF(G50="",-_xlfn.XLOOKUP(A50,OptionsTable[Name],OptionsTable[Slots],,,),-_xlfn.XLOOKUP(A50,OptionsTable[Name],OptionsTable[Slots],,,)*G50),-MAX(ROUNDUP(_xlfn.XLOOKUP(A50,OptionsTable[Name],OptionsTable[pSlot],,,)*$E$4,0),1)))</f>
        <v>0</v>
      </c>
      <c r="F50" s="37">
        <f>IF(_xlfn.XLOOKUP(A50,OptionsTable[Name],OptionsTable[xS],,,)=FALSE,1,IF($B$4&gt;0,$E$4,1))</f>
        <v>1</v>
      </c>
      <c r="G50" s="57"/>
      <c r="H50" s="193" t="str">
        <f>IF(_xlfn.XLOOKUP(A50,OptionsTable[Name],OptionsTable[Notes],,,)="","",_xlfn.XLOOKUP(A50,OptionsTable[Name],OptionsTable[Notes],,,))</f>
        <v/>
      </c>
      <c r="I50" s="194"/>
      <c r="J50" s="194"/>
      <c r="K50" s="43">
        <f>_xlfn.XLOOKUP(A50,OptionsTable[Name],OptionsTable[TL],,,)</f>
        <v>0</v>
      </c>
      <c r="L50" s="119" t="str">
        <f t="shared" si="10"/>
        <v/>
      </c>
      <c r="N50" s="5" t="str">
        <f>IF(_xlfn.XLOOKUP(A50,OptionsTable[Name],OptionsTable[Trait],,,)="","",_xlfn.XLOOKUP(A50,OptionsTable[Name],OptionsTable[Trait],,,))</f>
        <v/>
      </c>
      <c r="O50" s="5" t="str">
        <f>IF(_xlfn.XLOOKUP(A50,OptionsTable[Name],OptionsTable[Skill],,,)="","",_xlfn.XLOOKUP(A50,OptionsTable[Name],OptionsTable[Skill],,,))</f>
        <v/>
      </c>
      <c r="P50" s="136">
        <f>IF(G50="",_xlfn.XLOOKUP(A50,OptionsTable[Name],OptionsTable[Cost],,,)*F50,_xlfn.XLOOKUP(A50,OptionsTable[Name],OptionsTable[Cost],,,)*F50*G50)</f>
        <v>0</v>
      </c>
      <c r="R50" s="203"/>
      <c r="S50" s="204"/>
      <c r="T50" s="204"/>
      <c r="U50" s="204"/>
      <c r="V50" s="204"/>
      <c r="W50" s="204"/>
      <c r="X50" s="204"/>
      <c r="Y50" s="204"/>
      <c r="Z50" s="205"/>
    </row>
    <row r="51" spans="1:26" ht="12" customHeight="1" x14ac:dyDescent="0.35">
      <c r="A51" s="191"/>
      <c r="B51" s="192"/>
      <c r="C51" s="192"/>
      <c r="D51" s="192"/>
      <c r="E51" s="100">
        <f>IF(AND($B$4=0,_xlfn.XLOOKUP(A51,OptionsTable[Name],OptionsTable[Size0],,,)=TRUE),0,IF(_xlfn.XLOOKUP(A51,OptionsTable[Name],OptionsTable[pSlot],,,)=0,IF(G51="",-_xlfn.XLOOKUP(A51,OptionsTable[Name],OptionsTable[Slots],,,),-_xlfn.XLOOKUP(A51,OptionsTable[Name],OptionsTable[Slots],,,)*G51),-MAX(ROUNDUP(_xlfn.XLOOKUP(A51,OptionsTable[Name],OptionsTable[pSlot],,,)*$E$4,0),1)))</f>
        <v>0</v>
      </c>
      <c r="F51" s="37">
        <f>IF(_xlfn.XLOOKUP(A51,OptionsTable[Name],OptionsTable[xS],,,)=FALSE,1,IF($B$4&gt;0,$E$4,1))</f>
        <v>1</v>
      </c>
      <c r="G51" s="57"/>
      <c r="H51" s="193" t="str">
        <f>IF(_xlfn.XLOOKUP(A51,OptionsTable[Name],OptionsTable[Notes],,,)="","",_xlfn.XLOOKUP(A51,OptionsTable[Name],OptionsTable[Notes],,,))</f>
        <v/>
      </c>
      <c r="I51" s="194"/>
      <c r="J51" s="194"/>
      <c r="K51" s="43">
        <f>_xlfn.XLOOKUP(A51,OptionsTable[Name],OptionsTable[TL],,,)</f>
        <v>0</v>
      </c>
      <c r="L51" s="119" t="str">
        <f t="shared" si="10"/>
        <v/>
      </c>
      <c r="N51" s="5" t="str">
        <f>IF(_xlfn.XLOOKUP(A51,OptionsTable[Name],OptionsTable[Trait],,,)="","",_xlfn.XLOOKUP(A51,OptionsTable[Name],OptionsTable[Trait],,,))</f>
        <v/>
      </c>
      <c r="O51" s="5" t="str">
        <f>IF(_xlfn.XLOOKUP(A51,OptionsTable[Name],OptionsTable[Skill],,,)="","",_xlfn.XLOOKUP(A51,OptionsTable[Name],OptionsTable[Skill],,,))</f>
        <v/>
      </c>
      <c r="P51" s="136">
        <f>IF(G51="",_xlfn.XLOOKUP(A51,OptionsTable[Name],OptionsTable[Cost],,,)*F51,_xlfn.XLOOKUP(A51,OptionsTable[Name],OptionsTable[Cost],,,)*F51*G51)</f>
        <v>0</v>
      </c>
      <c r="R51" s="203"/>
      <c r="S51" s="204"/>
      <c r="T51" s="204"/>
      <c r="U51" s="204"/>
      <c r="V51" s="204"/>
      <c r="W51" s="204"/>
      <c r="X51" s="204"/>
      <c r="Y51" s="204"/>
      <c r="Z51" s="205"/>
    </row>
    <row r="52" spans="1:26" ht="12" customHeight="1" x14ac:dyDescent="0.35">
      <c r="A52" s="191"/>
      <c r="B52" s="192"/>
      <c r="C52" s="192"/>
      <c r="D52" s="192"/>
      <c r="E52" s="100">
        <f>IF(AND($B$4=0,_xlfn.XLOOKUP(A52,OptionsTable[Name],OptionsTable[Size0],,,)=TRUE),0,IF(_xlfn.XLOOKUP(A52,OptionsTable[Name],OptionsTable[pSlot],,,)=0,IF(G52="",-_xlfn.XLOOKUP(A52,OptionsTable[Name],OptionsTable[Slots],,,),-_xlfn.XLOOKUP(A52,OptionsTable[Name],OptionsTable[Slots],,,)*G52),-MAX(ROUNDUP(_xlfn.XLOOKUP(A52,OptionsTable[Name],OptionsTable[pSlot],,,)*$E$4,0),1)))</f>
        <v>0</v>
      </c>
      <c r="F52" s="37">
        <f>IF(_xlfn.XLOOKUP(A52,OptionsTable[Name],OptionsTable[xS],,,)=FALSE,1,IF($B$4&gt;0,$E$4,1))</f>
        <v>1</v>
      </c>
      <c r="G52" s="57"/>
      <c r="H52" s="193" t="str">
        <f>IF(_xlfn.XLOOKUP(A52,OptionsTable[Name],OptionsTable[Notes],,,)="","",_xlfn.XLOOKUP(A52,OptionsTable[Name],OptionsTable[Notes],,,))</f>
        <v/>
      </c>
      <c r="I52" s="194"/>
      <c r="J52" s="194"/>
      <c r="K52" s="43">
        <f>_xlfn.XLOOKUP(A52,OptionsTable[Name],OptionsTable[TL],,,)</f>
        <v>0</v>
      </c>
      <c r="L52" s="119" t="str">
        <f t="shared" si="10"/>
        <v/>
      </c>
      <c r="N52" s="5" t="str">
        <f>IF(_xlfn.XLOOKUP(A52,OptionsTable[Name],OptionsTable[Trait],,,)="","",_xlfn.XLOOKUP(A52,OptionsTable[Name],OptionsTable[Trait],,,))</f>
        <v/>
      </c>
      <c r="O52" s="5" t="str">
        <f>IF(_xlfn.XLOOKUP(A52,OptionsTable[Name],OptionsTable[Skill],,,)="","",_xlfn.XLOOKUP(A52,OptionsTable[Name],OptionsTable[Skill],,,))</f>
        <v/>
      </c>
      <c r="P52" s="136">
        <f>IF(G52="",_xlfn.XLOOKUP(A52,OptionsTable[Name],OptionsTable[Cost],,,)*F52,_xlfn.XLOOKUP(A52,OptionsTable[Name],OptionsTable[Cost],,,)*F52*G52)</f>
        <v>0</v>
      </c>
      <c r="R52" s="203"/>
      <c r="S52" s="204"/>
      <c r="T52" s="204"/>
      <c r="U52" s="204"/>
      <c r="V52" s="204"/>
      <c r="W52" s="204"/>
      <c r="X52" s="204"/>
      <c r="Y52" s="204"/>
      <c r="Z52" s="205"/>
    </row>
    <row r="53" spans="1:26" ht="12" customHeight="1" x14ac:dyDescent="0.35">
      <c r="A53" s="191"/>
      <c r="B53" s="192"/>
      <c r="C53" s="192"/>
      <c r="D53" s="192"/>
      <c r="E53" s="100">
        <f>IF(AND($B$4=0,_xlfn.XLOOKUP(A53,OptionsTable[Name],OptionsTable[Size0],,,)=TRUE),0,IF(_xlfn.XLOOKUP(A53,OptionsTable[Name],OptionsTable[pSlot],,,)=0,IF(G53="",-_xlfn.XLOOKUP(A53,OptionsTable[Name],OptionsTable[Slots],,,),-_xlfn.XLOOKUP(A53,OptionsTable[Name],OptionsTable[Slots],,,)*G53),-MAX(ROUNDUP(_xlfn.XLOOKUP(A53,OptionsTable[Name],OptionsTable[pSlot],,,)*$E$4,0),1)))</f>
        <v>0</v>
      </c>
      <c r="F53" s="37">
        <f>IF(_xlfn.XLOOKUP(A53,OptionsTable[Name],OptionsTable[xS],,,)=FALSE,1,IF($B$4&gt;0,$E$4,1))</f>
        <v>1</v>
      </c>
      <c r="G53" s="57"/>
      <c r="H53" s="193" t="str">
        <f>IF(_xlfn.XLOOKUP(A53,OptionsTable[Name],OptionsTable[Notes],,,)="","",_xlfn.XLOOKUP(A53,OptionsTable[Name],OptionsTable[Notes],,,))</f>
        <v/>
      </c>
      <c r="I53" s="194"/>
      <c r="J53" s="194"/>
      <c r="K53" s="43">
        <f>_xlfn.XLOOKUP(A53,OptionsTable[Name],OptionsTable[TL],,,)</f>
        <v>0</v>
      </c>
      <c r="L53" s="119" t="str">
        <f t="shared" si="10"/>
        <v/>
      </c>
      <c r="N53" s="5" t="str">
        <f>IF(_xlfn.XLOOKUP(A53,OptionsTable[Name],OptionsTable[Trait],,,)="","",_xlfn.XLOOKUP(A53,OptionsTable[Name],OptionsTable[Trait],,,))</f>
        <v/>
      </c>
      <c r="O53" s="5" t="str">
        <f>IF(_xlfn.XLOOKUP(A53,OptionsTable[Name],OptionsTable[Skill],,,)="","",_xlfn.XLOOKUP(A53,OptionsTable[Name],OptionsTable[Skill],,,))</f>
        <v/>
      </c>
      <c r="P53" s="136">
        <f>IF(G53="",_xlfn.XLOOKUP(A53,OptionsTable[Name],OptionsTable[Cost],,,)*F53,_xlfn.XLOOKUP(A53,OptionsTable[Name],OptionsTable[Cost],,,)*F53*G53)</f>
        <v>0</v>
      </c>
      <c r="R53" s="203"/>
      <c r="S53" s="204"/>
      <c r="T53" s="204"/>
      <c r="U53" s="204"/>
      <c r="V53" s="204"/>
      <c r="W53" s="204"/>
      <c r="X53" s="204"/>
      <c r="Y53" s="204"/>
      <c r="Z53" s="205"/>
    </row>
    <row r="54" spans="1:26" ht="12" customHeight="1" x14ac:dyDescent="0.35">
      <c r="A54" s="191"/>
      <c r="B54" s="192"/>
      <c r="C54" s="192"/>
      <c r="D54" s="192"/>
      <c r="E54" s="100">
        <f>IF(AND($B$4=0,_xlfn.XLOOKUP(A54,OptionsTable[Name],OptionsTable[Size0],,,)=TRUE),0,IF(_xlfn.XLOOKUP(A54,OptionsTable[Name],OptionsTable[pSlot],,,)=0,IF(G54="",-_xlfn.XLOOKUP(A54,OptionsTable[Name],OptionsTable[Slots],,,),-_xlfn.XLOOKUP(A54,OptionsTable[Name],OptionsTable[Slots],,,)*G54),-MAX(ROUNDUP(_xlfn.XLOOKUP(A54,OptionsTable[Name],OptionsTable[pSlot],,,)*$E$4,0),1)))</f>
        <v>0</v>
      </c>
      <c r="F54" s="37">
        <f>IF(_xlfn.XLOOKUP(A54,OptionsTable[Name],OptionsTable[xS],,,)=FALSE,1,IF($B$4&gt;0,$E$4,1))</f>
        <v>1</v>
      </c>
      <c r="G54" s="57"/>
      <c r="H54" s="193" t="str">
        <f>IF(_xlfn.XLOOKUP(A54,OptionsTable[Name],OptionsTable[Notes],,,)="","",_xlfn.XLOOKUP(A54,OptionsTable[Name],OptionsTable[Notes],,,))</f>
        <v/>
      </c>
      <c r="I54" s="194"/>
      <c r="J54" s="194"/>
      <c r="K54" s="43">
        <f>_xlfn.XLOOKUP(A54,OptionsTable[Name],OptionsTable[TL],,,)</f>
        <v>0</v>
      </c>
      <c r="L54" s="119" t="str">
        <f t="shared" si="10"/>
        <v/>
      </c>
      <c r="N54" s="5" t="str">
        <f>IF(_xlfn.XLOOKUP(A54,OptionsTable[Name],OptionsTable[Trait],,,)="","",_xlfn.XLOOKUP(A54,OptionsTable[Name],OptionsTable[Trait],,,))</f>
        <v/>
      </c>
      <c r="O54" s="5" t="str">
        <f>IF(_xlfn.XLOOKUP(A54,OptionsTable[Name],OptionsTable[Skill],,,)="","",_xlfn.XLOOKUP(A54,OptionsTable[Name],OptionsTable[Skill],,,))</f>
        <v/>
      </c>
      <c r="P54" s="136">
        <f>IF(G54="",_xlfn.XLOOKUP(A54,OptionsTable[Name],OptionsTable[Cost],,,)*F54,_xlfn.XLOOKUP(A54,OptionsTable[Name],OptionsTable[Cost],,,)*F54*G54)</f>
        <v>0</v>
      </c>
      <c r="R54" s="203"/>
      <c r="S54" s="204"/>
      <c r="T54" s="204"/>
      <c r="U54" s="204"/>
      <c r="V54" s="204"/>
      <c r="W54" s="204"/>
      <c r="X54" s="204"/>
      <c r="Y54" s="204"/>
      <c r="Z54" s="205"/>
    </row>
    <row r="55" spans="1:26" ht="12" customHeight="1" x14ac:dyDescent="0.35">
      <c r="A55" s="191"/>
      <c r="B55" s="192"/>
      <c r="C55" s="192"/>
      <c r="D55" s="192"/>
      <c r="E55" s="100">
        <f>IF(AND($B$4=0,_xlfn.XLOOKUP(A55,OptionsTable[Name],OptionsTable[Size0],,,)=TRUE),0,IF(_xlfn.XLOOKUP(A55,OptionsTable[Name],OptionsTable[pSlot],,,)=0,IF(G55="",-_xlfn.XLOOKUP(A55,OptionsTable[Name],OptionsTable[Slots],,,),-_xlfn.XLOOKUP(A55,OptionsTable[Name],OptionsTable[Slots],,,)*G55),-MAX(ROUNDUP(_xlfn.XLOOKUP(A55,OptionsTable[Name],OptionsTable[pSlot],,,)*$E$4,0),1)))</f>
        <v>0</v>
      </c>
      <c r="F55" s="37">
        <f>IF(_xlfn.XLOOKUP(A55,OptionsTable[Name],OptionsTable[xS],,,)=FALSE,1,IF($B$4&gt;0,$E$4,1))</f>
        <v>1</v>
      </c>
      <c r="G55" s="57"/>
      <c r="H55" s="193" t="str">
        <f>IF(_xlfn.XLOOKUP(A55,OptionsTable[Name],OptionsTable[Notes],,,)="","",_xlfn.XLOOKUP(A55,OptionsTable[Name],OptionsTable[Notes],,,))</f>
        <v/>
      </c>
      <c r="I55" s="194"/>
      <c r="J55" s="194"/>
      <c r="K55" s="43">
        <f>_xlfn.XLOOKUP(A55,OptionsTable[Name],OptionsTable[TL],,,)</f>
        <v>0</v>
      </c>
      <c r="L55" s="119" t="str">
        <f t="shared" si="10"/>
        <v/>
      </c>
      <c r="N55" s="5" t="str">
        <f>IF(_xlfn.XLOOKUP(A55,OptionsTable[Name],OptionsTable[Trait],,,)="","",_xlfn.XLOOKUP(A55,OptionsTable[Name],OptionsTable[Trait],,,))</f>
        <v/>
      </c>
      <c r="O55" s="5" t="str">
        <f>IF(_xlfn.XLOOKUP(A55,OptionsTable[Name],OptionsTable[Skill],,,)="","",_xlfn.XLOOKUP(A55,OptionsTable[Name],OptionsTable[Skill],,,))</f>
        <v/>
      </c>
      <c r="P55" s="136">
        <f>IF(G55="",_xlfn.XLOOKUP(A55,OptionsTable[Name],OptionsTable[Cost],,,)*F55,_xlfn.XLOOKUP(A55,OptionsTable[Name],OptionsTable[Cost],,,)*F55*G55)</f>
        <v>0</v>
      </c>
      <c r="R55" s="203"/>
      <c r="S55" s="204"/>
      <c r="T55" s="204"/>
      <c r="U55" s="204"/>
      <c r="V55" s="204"/>
      <c r="W55" s="204"/>
      <c r="X55" s="204"/>
      <c r="Y55" s="204"/>
      <c r="Z55" s="205"/>
    </row>
    <row r="56" spans="1:26" ht="12" customHeight="1" thickBot="1" x14ac:dyDescent="0.4">
      <c r="A56" s="228"/>
      <c r="B56" s="229"/>
      <c r="C56" s="229"/>
      <c r="D56" s="229"/>
      <c r="E56" s="100">
        <f>IF(AND($B$4=0,_xlfn.XLOOKUP(A56,OptionsTable[Name],OptionsTable[Size0],,,)=TRUE),0,IF(_xlfn.XLOOKUP(A56,OptionsTable[Name],OptionsTable[pSlot],,,)=0,IF(G56="",-_xlfn.XLOOKUP(A56,OptionsTable[Name],OptionsTable[Slots],,,),-_xlfn.XLOOKUP(A56,OptionsTable[Name],OptionsTable[Slots],,,)*G56),-MAX(ROUNDUP(_xlfn.XLOOKUP(A56,OptionsTable[Name],OptionsTable[pSlot],,,)*$E$4,0),1)))</f>
        <v>0</v>
      </c>
      <c r="F56" s="37">
        <f>IF(_xlfn.XLOOKUP(A56,OptionsTable[Name],OptionsTable[xS],,,)=FALSE,1,IF($B$4&gt;0,$E$4,1))</f>
        <v>1</v>
      </c>
      <c r="G56" s="105"/>
      <c r="H56" s="193" t="str">
        <f>IF(_xlfn.XLOOKUP(A56,OptionsTable[Name],OptionsTable[Notes],,,)="","",_xlfn.XLOOKUP(A56,OptionsTable[Name],OptionsTable[Notes],,,))</f>
        <v/>
      </c>
      <c r="I56" s="194"/>
      <c r="J56" s="194"/>
      <c r="K56" s="43">
        <f>_xlfn.XLOOKUP(A56,OptionsTable[Name],OptionsTable[TL],,,)</f>
        <v>0</v>
      </c>
      <c r="L56" s="119" t="str">
        <f t="shared" si="10"/>
        <v/>
      </c>
      <c r="N56" s="48" t="str">
        <f>IF(_xlfn.XLOOKUP(A56,OptionsTable[Name],OptionsTable[Trait],,,)="","",_xlfn.XLOOKUP(A56,OptionsTable[Name],OptionsTable[Trait],,,))</f>
        <v/>
      </c>
      <c r="O56" s="48" t="str">
        <f>IF(_xlfn.XLOOKUP(A56,OptionsTable[Name],OptionsTable[Skill],,,)="","",_xlfn.XLOOKUP(A56,OptionsTable[Name],OptionsTable[Skill],,,))</f>
        <v/>
      </c>
      <c r="P56" s="138">
        <f>IF(G56="",_xlfn.XLOOKUP(A56,OptionsTable[Name],OptionsTable[Cost],,,)*F56,_xlfn.XLOOKUP(A56,OptionsTable[Name],OptionsTable[Cost],,,)*F56*G56)</f>
        <v>0</v>
      </c>
      <c r="R56" s="203"/>
      <c r="S56" s="204"/>
      <c r="T56" s="204"/>
      <c r="U56" s="204"/>
      <c r="V56" s="204"/>
      <c r="W56" s="204"/>
      <c r="X56" s="204"/>
      <c r="Y56" s="204"/>
      <c r="Z56" s="205"/>
    </row>
    <row r="57" spans="1:26" ht="12" customHeight="1" thickBot="1" x14ac:dyDescent="0.4">
      <c r="A57" s="219" t="s">
        <v>189</v>
      </c>
      <c r="B57" s="220"/>
      <c r="C57" s="220"/>
      <c r="D57" s="220"/>
      <c r="E57" s="100">
        <f>MIN(0,-G57)</f>
        <v>0</v>
      </c>
      <c r="F57" s="72"/>
      <c r="G57" s="106"/>
      <c r="H57" s="221"/>
      <c r="I57" s="222"/>
      <c r="J57" s="222"/>
      <c r="K57" s="74"/>
      <c r="L57" s="74"/>
      <c r="M57" s="73"/>
      <c r="N57" s="75"/>
      <c r="O57" s="75"/>
      <c r="P57" s="139">
        <f>E57*100</f>
        <v>0</v>
      </c>
      <c r="R57" s="203"/>
      <c r="S57" s="204"/>
      <c r="T57" s="204"/>
      <c r="U57" s="204"/>
      <c r="V57" s="204"/>
      <c r="W57" s="204"/>
      <c r="X57" s="204"/>
      <c r="Y57" s="204"/>
      <c r="Z57" s="205"/>
    </row>
    <row r="58" spans="1:26" ht="12" customHeight="1" thickBot="1" x14ac:dyDescent="0.4">
      <c r="A58" s="63" t="s">
        <v>179</v>
      </c>
      <c r="B58" s="63"/>
      <c r="C58" s="63"/>
      <c r="D58" s="63"/>
      <c r="E58" s="63"/>
      <c r="F58" s="38"/>
      <c r="G58" s="64"/>
      <c r="H58" s="63" t="s">
        <v>356</v>
      </c>
      <c r="I58" s="63"/>
      <c r="J58" s="77" t="s">
        <v>357</v>
      </c>
      <c r="K58" s="76" t="s">
        <v>4</v>
      </c>
      <c r="L58" s="65" t="s">
        <v>358</v>
      </c>
      <c r="M58" s="63" t="s">
        <v>5</v>
      </c>
      <c r="N58" s="63" t="s">
        <v>355</v>
      </c>
      <c r="O58" s="63"/>
      <c r="P58" s="134" t="s">
        <v>5</v>
      </c>
      <c r="R58" s="203"/>
      <c r="S58" s="204"/>
      <c r="T58" s="204"/>
      <c r="U58" s="204"/>
      <c r="V58" s="204"/>
      <c r="W58" s="204"/>
      <c r="X58" s="204"/>
      <c r="Y58" s="204"/>
      <c r="Z58" s="205"/>
    </row>
    <row r="59" spans="1:26" ht="12" customHeight="1" x14ac:dyDescent="0.35">
      <c r="A59" s="223" t="s">
        <v>359</v>
      </c>
      <c r="B59" s="224"/>
      <c r="C59" s="224"/>
      <c r="D59" s="224"/>
      <c r="E59" s="39"/>
      <c r="F59" s="37"/>
      <c r="G59" s="107"/>
      <c r="H59" s="225"/>
      <c r="I59" s="226"/>
      <c r="J59" s="50"/>
      <c r="K59" s="49"/>
      <c r="L59" s="50"/>
      <c r="M59" s="50"/>
      <c r="N59" s="50"/>
      <c r="P59" s="140"/>
      <c r="R59" s="203"/>
      <c r="S59" s="204"/>
      <c r="T59" s="204"/>
      <c r="U59" s="204"/>
      <c r="V59" s="204"/>
      <c r="W59" s="204"/>
      <c r="X59" s="204"/>
      <c r="Y59" s="204"/>
      <c r="Z59" s="205"/>
    </row>
    <row r="60" spans="1:26" ht="12" customHeight="1" x14ac:dyDescent="0.35">
      <c r="A60" s="191"/>
      <c r="B60" s="192"/>
      <c r="C60" s="192"/>
      <c r="D60" s="192"/>
      <c r="E60" s="39"/>
      <c r="F60" s="37"/>
      <c r="G60" s="57"/>
      <c r="H60" s="193"/>
      <c r="I60" s="227"/>
      <c r="J60" s="23"/>
      <c r="K60" s="44"/>
      <c r="L60" s="23"/>
      <c r="M60" s="23"/>
      <c r="N60" s="23"/>
      <c r="P60" s="141"/>
      <c r="R60" s="203"/>
      <c r="S60" s="204"/>
      <c r="T60" s="204"/>
      <c r="U60" s="204"/>
      <c r="V60" s="204"/>
      <c r="W60" s="204"/>
      <c r="X60" s="204"/>
      <c r="Y60" s="204"/>
      <c r="Z60" s="205"/>
    </row>
    <row r="61" spans="1:26" ht="12" customHeight="1" x14ac:dyDescent="0.35">
      <c r="A61" s="191"/>
      <c r="B61" s="192"/>
      <c r="C61" s="192"/>
      <c r="D61" s="192"/>
      <c r="E61" s="39"/>
      <c r="F61" s="37"/>
      <c r="G61" s="57"/>
      <c r="H61" s="193"/>
      <c r="I61" s="227"/>
      <c r="J61" s="23"/>
      <c r="K61" s="44"/>
      <c r="L61" s="23"/>
      <c r="M61" s="23"/>
      <c r="N61" s="23"/>
      <c r="P61" s="141"/>
      <c r="R61" s="203"/>
      <c r="S61" s="204"/>
      <c r="T61" s="204"/>
      <c r="U61" s="204"/>
      <c r="V61" s="204"/>
      <c r="W61" s="204"/>
      <c r="X61" s="204"/>
      <c r="Y61" s="204"/>
      <c r="Z61" s="205"/>
    </row>
    <row r="62" spans="1:26" ht="12" customHeight="1" thickBot="1" x14ac:dyDescent="0.4">
      <c r="E62" s="39"/>
      <c r="F62" s="37"/>
      <c r="K62" s="39"/>
      <c r="R62" s="203"/>
      <c r="S62" s="204"/>
      <c r="T62" s="204"/>
      <c r="U62" s="204"/>
      <c r="V62" s="204"/>
      <c r="W62" s="204"/>
      <c r="X62" s="204"/>
      <c r="Y62" s="204"/>
      <c r="Z62" s="205"/>
    </row>
    <row r="63" spans="1:26" ht="12" customHeight="1" thickBot="1" x14ac:dyDescent="0.4">
      <c r="A63" s="63" t="s">
        <v>65</v>
      </c>
      <c r="B63" s="63"/>
      <c r="C63" s="63"/>
      <c r="D63" s="63"/>
      <c r="E63" s="64" t="s">
        <v>10</v>
      </c>
      <c r="F63" s="38"/>
      <c r="G63" s="63"/>
      <c r="H63" s="63" t="s">
        <v>48</v>
      </c>
      <c r="I63" s="63" t="s">
        <v>153</v>
      </c>
      <c r="J63" s="77" t="s">
        <v>402</v>
      </c>
      <c r="K63" s="76" t="s">
        <v>4</v>
      </c>
      <c r="L63" s="65" t="s">
        <v>89</v>
      </c>
      <c r="M63" s="63"/>
      <c r="N63" s="63" t="s">
        <v>25</v>
      </c>
      <c r="O63" s="63" t="s">
        <v>90</v>
      </c>
      <c r="P63" s="134" t="s">
        <v>5</v>
      </c>
      <c r="R63" s="203"/>
      <c r="S63" s="204"/>
      <c r="T63" s="204"/>
      <c r="U63" s="204"/>
      <c r="V63" s="204"/>
      <c r="W63" s="204"/>
      <c r="X63" s="204"/>
      <c r="Y63" s="204"/>
      <c r="Z63" s="205"/>
    </row>
    <row r="64" spans="1:26" ht="12" customHeight="1" x14ac:dyDescent="0.35">
      <c r="A64" s="92" t="s">
        <v>309</v>
      </c>
      <c r="B64" s="223" t="s">
        <v>81</v>
      </c>
      <c r="C64" s="224"/>
      <c r="D64" s="224"/>
      <c r="E64" s="39">
        <f>IF(L64+K64-O2&gt;B4,-1,0)</f>
        <v>0</v>
      </c>
      <c r="F64" s="37"/>
      <c r="H64" s="1">
        <f>_xlfn.XLOOKUP(B64,Brains[Programming/Control],Brains[Base INT],,,)</f>
        <v>9</v>
      </c>
      <c r="I64" s="31">
        <f>IF(H64&gt;17,4,IF(H64&gt;14,3,IF(H64&gt;11,2,IF(H64&gt;8,1,IF(H64&gt;5,0,IF(H64&gt;2,-1,-2))))))</f>
        <v>1</v>
      </c>
      <c r="J64" s="1">
        <f>_xlfn.XLOOKUP(B64,Brains[Programming/Control],Brains[Computer/X],,,)</f>
        <v>3</v>
      </c>
      <c r="K64" s="43">
        <f>_xlfn.XLOOKUP(B64,Brains[Programming/Control],Brains[TL],,,)</f>
        <v>12</v>
      </c>
      <c r="L64">
        <f>_xlfn.XLOOKUP(B64,Brains[Programming/Control],Brains[Computer/X],,,)</f>
        <v>3</v>
      </c>
      <c r="M64" s="12" t="str">
        <f>_xlfn.XLOOKUP(B64,Brains[Programming/Control],Brains[Base capability (built-in no bandwidth, cumulative)],,,)</f>
        <v>Intellect Interface, Expert/2, Security/2</v>
      </c>
      <c r="N64" s="12"/>
      <c r="O64" s="12" t="str">
        <f>IF(_xlfn.XLOOKUP(B64,Brains[Programming/Control],Brains[Skill],,,)="","",_xlfn.XLOOKUP(B64,Brains[Programming/Control],Brains[Skill],,,))</f>
        <v/>
      </c>
      <c r="P64" s="136">
        <f>_xlfn.XLOOKUP(B64,Brains[Programming/Control],Brains[Cost],,,)*IF(L64&gt;2,2/(2)^(1+O2-K64),1)</f>
        <v>62500</v>
      </c>
      <c r="R64" s="203"/>
      <c r="S64" s="204"/>
      <c r="T64" s="204"/>
      <c r="U64" s="204"/>
      <c r="V64" s="204"/>
      <c r="W64" s="204"/>
      <c r="X64" s="204"/>
      <c r="Y64" s="204"/>
      <c r="Z64" s="205"/>
    </row>
    <row r="65" spans="1:26" ht="12" customHeight="1" x14ac:dyDescent="0.35">
      <c r="A65" s="92" t="s">
        <v>152</v>
      </c>
      <c r="B65" s="191" t="s">
        <v>160</v>
      </c>
      <c r="C65" s="192"/>
      <c r="D65" s="192"/>
      <c r="E65" s="39">
        <f>-_xlfn.XLOOKUP(B65,Bandwidth[Minimum Base Brain],Bandwidth[Slots],,,)</f>
        <v>-1</v>
      </c>
      <c r="F65" s="37"/>
      <c r="K65" s="43">
        <f>_xlfn.XLOOKUP(B65,Bandwidth[Minimum Base Brain],Bandwidth[TL],,,)</f>
        <v>12</v>
      </c>
      <c r="L65">
        <f>_xlfn.XLOOKUP(B65,Bandwidth[Minimum Base Brain],Bandwidth[Bandwidth],,,)+L64</f>
        <v>9</v>
      </c>
      <c r="M65" t="s">
        <v>310</v>
      </c>
      <c r="P65" s="136">
        <f>_xlfn.XLOOKUP(B65,Bandwidth[Minimum Base Brain],Bandwidth[Cost],,,)</f>
        <v>50000</v>
      </c>
      <c r="R65" s="203"/>
      <c r="S65" s="204"/>
      <c r="T65" s="204"/>
      <c r="U65" s="204"/>
      <c r="V65" s="204"/>
      <c r="W65" s="204"/>
      <c r="X65" s="204"/>
      <c r="Y65" s="204"/>
      <c r="Z65" s="205"/>
    </row>
    <row r="66" spans="1:26" ht="12" customHeight="1" x14ac:dyDescent="0.35">
      <c r="A66" s="92" t="s">
        <v>720</v>
      </c>
      <c r="B66" s="29">
        <v>0</v>
      </c>
      <c r="E66" s="39"/>
      <c r="F66" s="37" cm="1">
        <f t="array" ref="F66">_xlfn.IFS(B66=0,0,B66=1,-1,B66=2,-3,B66=3,-6)</f>
        <v>0</v>
      </c>
      <c r="H66" s="6">
        <f>H64+B66</f>
        <v>9</v>
      </c>
      <c r="I66" s="15">
        <f>IF(H66&gt;17,4,IF(H66&gt;14,3,IF(H66&gt;11,2,IF(H66&gt;8,1,IF(H66&gt;5,0,IF(H66&gt;2,-1,-2))))))</f>
        <v>1</v>
      </c>
      <c r="K66" s="43"/>
      <c r="L66" s="55">
        <f>L65+F66</f>
        <v>9</v>
      </c>
      <c r="M66" t="s">
        <v>310</v>
      </c>
      <c r="P66" s="136" cm="1">
        <f t="array" ref="P66">_xlfn.IFS(B66=0,0,B66=1,(H64+1)*1000,B66=2,(H64+1)*(H64+2)*1000,B66=3,(H64+1)*(H64+2)*(H64+3)*1000)*IF(H66&gt;11,2,1)</f>
        <v>0</v>
      </c>
      <c r="R66" s="203"/>
      <c r="S66" s="204"/>
      <c r="T66" s="204"/>
      <c r="U66" s="204"/>
      <c r="V66" s="204"/>
      <c r="W66" s="204"/>
      <c r="X66" s="204"/>
      <c r="Y66" s="204"/>
      <c r="Z66" s="205"/>
    </row>
    <row r="67" spans="1:26" ht="12" customHeight="1" thickBot="1" x14ac:dyDescent="0.4">
      <c r="A67" s="92" t="s">
        <v>308</v>
      </c>
      <c r="B67" s="28" t="b">
        <v>0</v>
      </c>
      <c r="C67" s="24"/>
      <c r="D67" s="24"/>
      <c r="E67" s="40"/>
      <c r="F67" s="38"/>
      <c r="G67" s="24"/>
      <c r="H67" s="46"/>
      <c r="I67" s="24"/>
      <c r="J67" s="104">
        <f>J64-COUNTIF(G73:G90,0)</f>
        <v>3</v>
      </c>
      <c r="K67" s="42"/>
      <c r="L67" s="56">
        <f>L66-SUM(G69:G90)</f>
        <v>0</v>
      </c>
      <c r="M67" s="24" t="s">
        <v>312</v>
      </c>
      <c r="N67" s="25" t="str">
        <f>IF(B67,"Hardened, ","")</f>
        <v/>
      </c>
      <c r="O67" s="24"/>
      <c r="P67" s="135">
        <f>B67*(P65+P64)*0.5</f>
        <v>0</v>
      </c>
      <c r="R67" s="203"/>
      <c r="S67" s="204"/>
      <c r="T67" s="204"/>
      <c r="U67" s="204"/>
      <c r="V67" s="204"/>
      <c r="W67" s="204"/>
      <c r="X67" s="204"/>
      <c r="Y67" s="204"/>
      <c r="Z67" s="205"/>
    </row>
    <row r="68" spans="1:26" ht="12" customHeight="1" thickBot="1" x14ac:dyDescent="0.4">
      <c r="A68" s="63" t="s">
        <v>116</v>
      </c>
      <c r="B68" s="63"/>
      <c r="C68" s="63"/>
      <c r="D68" s="63"/>
      <c r="E68" s="64"/>
      <c r="F68" s="64"/>
      <c r="G68" s="64" t="s">
        <v>89</v>
      </c>
      <c r="H68" s="63"/>
      <c r="I68" s="63"/>
      <c r="J68" s="63"/>
      <c r="K68" s="63"/>
      <c r="L68" s="63"/>
      <c r="M68" s="63"/>
      <c r="N68" s="63"/>
      <c r="O68" s="63"/>
      <c r="P68" s="134" t="s">
        <v>5</v>
      </c>
      <c r="R68" s="203"/>
      <c r="S68" s="204"/>
      <c r="T68" s="204"/>
      <c r="U68" s="204"/>
      <c r="V68" s="204"/>
      <c r="W68" s="204"/>
      <c r="X68" s="204"/>
      <c r="Y68" s="204"/>
      <c r="Z68" s="205"/>
    </row>
    <row r="69" spans="1:26" ht="12" customHeight="1" x14ac:dyDescent="0.35">
      <c r="A69" s="92" t="s">
        <v>14</v>
      </c>
      <c r="B69" s="191" t="s">
        <v>117</v>
      </c>
      <c r="C69" s="192"/>
      <c r="D69" s="192"/>
      <c r="E69" s="39"/>
      <c r="G69" s="58">
        <f>_xlfn.XLOOKUP(B69,PrimitiveBrain[Name],PrimitiveBrain[Bandwidth],,,)</f>
        <v>0</v>
      </c>
      <c r="K69" s="43">
        <f>_xlfn.XLOOKUP(B69,PrimitiveBrain[Name],PrimitiveBrain[TL],,,)</f>
        <v>0</v>
      </c>
      <c r="N69" s="12" t="str">
        <f>IF(B69="Alert","Alarm, ","")</f>
        <v/>
      </c>
      <c r="O69" s="12" t="str">
        <f>IF(_xlfn.XLOOKUP(B69,PrimitiveBrain[Name],PrimitiveBrain[Skill],,,)="","",_xlfn.XLOOKUP(B69,PrimitiveBrain[Name],PrimitiveBrain[Skill],,,))</f>
        <v/>
      </c>
      <c r="P69" s="136">
        <f>_xlfn.XLOOKUP(B69,PrimitiveBrain[Name],PrimitiveBrain[Cr],,,)</f>
        <v>0</v>
      </c>
      <c r="R69" s="203"/>
      <c r="S69" s="204"/>
      <c r="T69" s="204"/>
      <c r="U69" s="204"/>
      <c r="V69" s="204"/>
      <c r="W69" s="204"/>
      <c r="X69" s="204"/>
      <c r="Y69" s="204"/>
      <c r="Z69" s="205"/>
    </row>
    <row r="70" spans="1:26" ht="12" customHeight="1" x14ac:dyDescent="0.35">
      <c r="A70" s="92" t="s">
        <v>0</v>
      </c>
      <c r="B70" s="191" t="s">
        <v>117</v>
      </c>
      <c r="C70" s="192"/>
      <c r="D70" s="192"/>
      <c r="E70" s="39"/>
      <c r="G70" s="58">
        <f>_xlfn.XLOOKUP(B70,BasicBrain[Name],BasicBrain[Bandwidth],,,)</f>
        <v>0</v>
      </c>
      <c r="K70" s="43">
        <f>_xlfn.XLOOKUP(B70,BasicBrain[Name],BasicBrain[TL],,,)</f>
        <v>0</v>
      </c>
      <c r="N70" s="12" t="str">
        <f>IF(B70="Basic (security)","Alarm, ","")</f>
        <v/>
      </c>
      <c r="O70" s="5" t="str">
        <f>IF(_xlfn.XLOOKUP(B70,BasicBrain[Name],BasicBrain[Skill],,,)="","",_xlfn.XLOOKUP(B70,BasicBrain[Name],BasicBrain[Skill],,,))</f>
        <v/>
      </c>
      <c r="P70" s="136">
        <f>_xlfn.XLOOKUP(B70,BasicBrain[Name],BasicBrain[Cr],,,)</f>
        <v>0</v>
      </c>
      <c r="R70" s="203"/>
      <c r="S70" s="204"/>
      <c r="T70" s="204"/>
      <c r="U70" s="204"/>
      <c r="V70" s="204"/>
      <c r="W70" s="204"/>
      <c r="X70" s="204"/>
      <c r="Y70" s="204"/>
      <c r="Z70" s="205"/>
    </row>
    <row r="71" spans="1:26" ht="12" customHeight="1" thickBot="1" x14ac:dyDescent="0.4">
      <c r="A71" s="92" t="s">
        <v>108</v>
      </c>
      <c r="B71" s="230" t="s">
        <v>117</v>
      </c>
      <c r="C71" s="231"/>
      <c r="D71" s="231"/>
      <c r="E71" s="41"/>
      <c r="F71" s="13"/>
      <c r="G71" s="58">
        <f>_xlfn.XLOOKUP(B71,HunterKillerBrain[Name],HunterKillerBrain[Bandwidth],,,)</f>
        <v>0</v>
      </c>
      <c r="H71" s="13"/>
      <c r="I71" s="13"/>
      <c r="J71" s="13"/>
      <c r="K71" s="45">
        <f>_xlfn.XLOOKUP(B71,HunterKillerBrain[Name],HunterKillerBrain[TL],,,)</f>
        <v>0</v>
      </c>
      <c r="L71" s="4"/>
      <c r="M71" s="13"/>
      <c r="N71" s="13"/>
      <c r="O71" s="14" t="str">
        <f>IF(_xlfn.XLOOKUP(B71,HunterKillerBrain[Name],HunterKillerBrain[Skill],,,)="","",_xlfn.XLOOKUP(B71,HunterKillerBrain[Name],HunterKillerBrain[Skill],,,))</f>
        <v/>
      </c>
      <c r="P71" s="136">
        <f>_xlfn.XLOOKUP(B71,HunterKillerBrain[Name],HunterKillerBrain[Cr],,,)</f>
        <v>0</v>
      </c>
      <c r="R71" s="203"/>
      <c r="S71" s="204"/>
      <c r="T71" s="204"/>
      <c r="U71" s="204"/>
      <c r="V71" s="204"/>
      <c r="W71" s="204"/>
      <c r="X71" s="204"/>
      <c r="Y71" s="204"/>
      <c r="Z71" s="205"/>
    </row>
    <row r="72" spans="1:26" ht="12" customHeight="1" thickBot="1" x14ac:dyDescent="0.4">
      <c r="A72" s="63" t="s">
        <v>787</v>
      </c>
      <c r="B72" s="63" t="s">
        <v>361</v>
      </c>
      <c r="C72" s="63"/>
      <c r="D72" s="63" t="s">
        <v>6</v>
      </c>
      <c r="E72" s="64"/>
      <c r="F72" s="64"/>
      <c r="G72" s="64" t="s">
        <v>89</v>
      </c>
      <c r="H72" s="63"/>
      <c r="I72" s="63" t="s">
        <v>314</v>
      </c>
      <c r="J72" s="77"/>
      <c r="K72" s="76" t="s">
        <v>4</v>
      </c>
      <c r="L72" s="65"/>
      <c r="M72" s="63"/>
      <c r="N72" s="63"/>
      <c r="O72" s="63" t="s">
        <v>788</v>
      </c>
      <c r="P72" s="134" t="s">
        <v>5</v>
      </c>
      <c r="R72" s="203"/>
      <c r="S72" s="204"/>
      <c r="T72" s="204"/>
      <c r="U72" s="204"/>
      <c r="V72" s="204"/>
      <c r="W72" s="204"/>
      <c r="X72" s="204"/>
      <c r="Y72" s="204"/>
      <c r="Z72" s="205"/>
    </row>
    <row r="73" spans="1:26" ht="12" customHeight="1" x14ac:dyDescent="0.35">
      <c r="A73" s="47" t="s">
        <v>122</v>
      </c>
      <c r="B73" s="225"/>
      <c r="C73" s="226"/>
      <c r="D73" s="57">
        <v>2</v>
      </c>
      <c r="E73" s="39"/>
      <c r="G73" s="59">
        <f>IF(A73="N/A","",IF(AND(A73="Science ()",B73="all"),(D73+_xlfn.XLOOKUP(A73,StandardBrain[Name],StandardBrain[Bandwidth],,,))*8,IF(B73="all",(D73+_xlfn.XLOOKUP(A73,StandardBrain[Name],StandardBrain[Bandwidth],,,))*4,IF(A73="N/A","",D73+_xlfn.XLOOKUP(A73,StandardBrain[Name],StandardBrain[Bandwidth],,,)))))</f>
        <v>3</v>
      </c>
      <c r="I73" s="58" t="str">
        <f>_xlfn.XLOOKUP(A73,StandardBrain[Name],StandardBrain[Characteristic],,,)</f>
        <v>INT</v>
      </c>
      <c r="K73" s="43">
        <f>_xlfn.XLOOKUP(A73,StandardBrain[Name],StandardBrain[TL],,,)+D73</f>
        <v>13</v>
      </c>
      <c r="O73" s="12" t="str">
        <f>IF(_xlfn.XLOOKUP(A73,StandardBrain[Name],StandardBrain[Skill],,,)="","",_xlfn.CONCAT(_xlfn.XLOOKUP(A73,StandardBrain[Name],StandardBrain[Skill],,,),IF(RIGHT(_xlfn.XLOOKUP(A73,StandardBrain[Name],StandardBrain[Skill],,,),1)="(",IF(AND(B73="all",D73=0),"",B73),""),IF(RIGHT(_xlfn.XLOOKUP(A73,StandardBrain[Name],StandardBrain[Skill],,,),1)="(",")","")," ",IF(_xlfn.XLOOKUP(A73,StandardBrain[Name],StandardBrain[Characteristic],,,)="N/A","",D73+IF(_xlfn.XLOOKUP(A73,StandardBrain[Name],StandardBrain[Characteristic],,,)="INT",$I$66,IF($B$19&gt;0,$M$19,$B$13))),", "))</f>
        <v xml:space="preserve">Carouse 3, </v>
      </c>
      <c r="P73" s="138">
        <f>IF(AND(A73="Science ()",B73="all"),(_xlfn.XLOOKUP(A73,StandardBrain[Name],StandardBrain[Cr],,,)*10^(D73))*8,IF(B73="all",(_xlfn.XLOOKUP(A73,StandardBrain[Name],StandardBrain[Cr],,,)*10^(D73))*4,IF(A73="N/A",0,_xlfn.XLOOKUP(A73,StandardBrain[Name],StandardBrain[Cr],,,)*10^(D73))))</f>
        <v>50000</v>
      </c>
      <c r="R73" s="203"/>
      <c r="S73" s="204"/>
      <c r="T73" s="204"/>
      <c r="U73" s="204"/>
      <c r="V73" s="204"/>
      <c r="W73" s="204"/>
      <c r="X73" s="204"/>
      <c r="Y73" s="204"/>
      <c r="Z73" s="205"/>
    </row>
    <row r="74" spans="1:26" ht="12" customHeight="1" x14ac:dyDescent="0.35">
      <c r="A74" s="30" t="s">
        <v>134</v>
      </c>
      <c r="B74" s="193"/>
      <c r="C74" s="227"/>
      <c r="D74" s="57">
        <v>2</v>
      </c>
      <c r="E74" s="39"/>
      <c r="G74" s="59">
        <f>IF(A74="N/A","",IF(AND(A74="Science ()",B74="all"),(D74+_xlfn.XLOOKUP(A74,StandardBrain[Name],StandardBrain[Bandwidth],,,))*8,IF(B74="all",(D74+_xlfn.XLOOKUP(A74,StandardBrain[Name],StandardBrain[Bandwidth],,,))*4,IF(A74="N/A","",D74+_xlfn.XLOOKUP(A74,StandardBrain[Name],StandardBrain[Bandwidth],,,)))))</f>
        <v>3</v>
      </c>
      <c r="I74" s="58" t="str">
        <f>_xlfn.XLOOKUP(A74,StandardBrain[Name],StandardBrain[Characteristic],,,)</f>
        <v>INT</v>
      </c>
      <c r="K74" s="43">
        <f>_xlfn.XLOOKUP(A74,StandardBrain[Name],StandardBrain[TL],,,)+D74</f>
        <v>13</v>
      </c>
      <c r="O74" s="12" t="str">
        <f>IF(_xlfn.XLOOKUP(A74,StandardBrain[Name],StandardBrain[Skill],,,)="","",_xlfn.CONCAT(_xlfn.XLOOKUP(A74,StandardBrain[Name],StandardBrain[Skill],,,),IF(RIGHT(_xlfn.XLOOKUP(A74,StandardBrain[Name],StandardBrain[Skill],,,),1)="(",IF(AND(B74="all",D74=0),"",B74),""),IF(RIGHT(_xlfn.XLOOKUP(A74,StandardBrain[Name],StandardBrain[Skill],,,),1)="(",")","")," ",IF(_xlfn.XLOOKUP(A74,StandardBrain[Name],StandardBrain[Characteristic],,,)="N/A","",D74+IF(_xlfn.XLOOKUP(A74,StandardBrain[Name],StandardBrain[Characteristic],,,)="INT",$I$66,IF($B$19&gt;0,$M$19,$B$13))),", "))</f>
        <v xml:space="preserve">Persuade 3, </v>
      </c>
      <c r="P74" s="138">
        <f>IF(AND(A74="Science ()",B74="all"),(_xlfn.XLOOKUP(A74,StandardBrain[Name],StandardBrain[Cr],,,)*10^(D74))*8,IF(B74="all",(_xlfn.XLOOKUP(A74,StandardBrain[Name],StandardBrain[Cr],,,)*10^(D74))*4,IF(A74="N/A",0,_xlfn.XLOOKUP(A74,StandardBrain[Name],StandardBrain[Cr],,,)*10^(D74))))</f>
        <v>50000</v>
      </c>
      <c r="R74" s="203"/>
      <c r="S74" s="204"/>
      <c r="T74" s="204"/>
      <c r="U74" s="204"/>
      <c r="V74" s="204"/>
      <c r="W74" s="204"/>
      <c r="X74" s="204"/>
      <c r="Y74" s="204"/>
      <c r="Z74" s="205"/>
    </row>
    <row r="75" spans="1:26" ht="12" customHeight="1" x14ac:dyDescent="0.35">
      <c r="A75" s="30" t="s">
        <v>144</v>
      </c>
      <c r="B75" s="193"/>
      <c r="C75" s="227"/>
      <c r="D75" s="57">
        <v>3</v>
      </c>
      <c r="E75" s="39"/>
      <c r="G75" s="59">
        <f>IF(A75="N/A","",IF(AND(A75="Science ()",B75="all"),(D75+_xlfn.XLOOKUP(A75,StandardBrain[Name],StandardBrain[Bandwidth],,,))*8,IF(B75="all",(D75+_xlfn.XLOOKUP(A75,StandardBrain[Name],StandardBrain[Bandwidth],,,))*4,IF(A75="N/A","",D75+_xlfn.XLOOKUP(A75,StandardBrain[Name],StandardBrain[Bandwidth],,,)))))</f>
        <v>3</v>
      </c>
      <c r="I75" s="58" t="str">
        <f>_xlfn.XLOOKUP(A75,StandardBrain[Name],StandardBrain[Characteristic],,,)</f>
        <v>INT</v>
      </c>
      <c r="K75" s="43">
        <f>_xlfn.XLOOKUP(A75,StandardBrain[Name],StandardBrain[TL],,,)+D75</f>
        <v>11</v>
      </c>
      <c r="O75" s="12" t="str">
        <f>IF(_xlfn.XLOOKUP(A75,StandardBrain[Name],StandardBrain[Skill],,,)="","",_xlfn.CONCAT(_xlfn.XLOOKUP(A75,StandardBrain[Name],StandardBrain[Skill],,,),IF(RIGHT(_xlfn.XLOOKUP(A75,StandardBrain[Name],StandardBrain[Skill],,,),1)="(",IF(AND(B75="all",D75=0),"",B75),""),IF(RIGHT(_xlfn.XLOOKUP(A75,StandardBrain[Name],StandardBrain[Skill],,,),1)="(",")","")," ",IF(_xlfn.XLOOKUP(A75,StandardBrain[Name],StandardBrain[Characteristic],,,)="N/A","",D75+IF(_xlfn.XLOOKUP(A75,StandardBrain[Name],StandardBrain[Characteristic],,,)="INT",$I$66,IF($B$19&gt;0,$M$19,$B$13))),", "))</f>
        <v xml:space="preserve">Steward 4, </v>
      </c>
      <c r="P75" s="138">
        <f>IF(AND(A75="Science ()",B75="all"),(_xlfn.XLOOKUP(A75,StandardBrain[Name],StandardBrain[Cr],,,)*10^(D75))*8,IF(B75="all",(_xlfn.XLOOKUP(A75,StandardBrain[Name],StandardBrain[Cr],,,)*10^(D75))*4,IF(A75="N/A",0,_xlfn.XLOOKUP(A75,StandardBrain[Name],StandardBrain[Cr],,,)*10^(D75))))</f>
        <v>100000</v>
      </c>
      <c r="R75" s="203"/>
      <c r="S75" s="204"/>
      <c r="T75" s="204"/>
      <c r="U75" s="204"/>
      <c r="V75" s="204"/>
      <c r="W75" s="204"/>
      <c r="X75" s="204"/>
      <c r="Y75" s="204"/>
      <c r="Z75" s="205"/>
    </row>
    <row r="76" spans="1:26" ht="12" customHeight="1" x14ac:dyDescent="0.35">
      <c r="A76" s="30" t="s">
        <v>117</v>
      </c>
      <c r="B76" s="193"/>
      <c r="C76" s="227"/>
      <c r="D76" s="57"/>
      <c r="E76" s="39"/>
      <c r="G76" s="59" t="str">
        <f>IF(A76="N/A","",IF(AND(A76="Science ()",B76="all"),(D76+_xlfn.XLOOKUP(A76,StandardBrain[Name],StandardBrain[Bandwidth],,,))*8,IF(B76="all",(D76+_xlfn.XLOOKUP(A76,StandardBrain[Name],StandardBrain[Bandwidth],,,))*4,IF(A76="N/A","",D76+_xlfn.XLOOKUP(A76,StandardBrain[Name],StandardBrain[Bandwidth],,,)))))</f>
        <v/>
      </c>
      <c r="I76" s="58" t="str">
        <f>_xlfn.XLOOKUP(A76,StandardBrain[Name],StandardBrain[Characteristic],,,)</f>
        <v xml:space="preserve"> </v>
      </c>
      <c r="K76" s="43">
        <f>_xlfn.XLOOKUP(A76,StandardBrain[Name],StandardBrain[TL],,,)+D76</f>
        <v>0</v>
      </c>
      <c r="O76" s="12" t="str">
        <f>IF(_xlfn.XLOOKUP(A76,StandardBrain[Name],StandardBrain[Skill],,,)="","",_xlfn.CONCAT(_xlfn.XLOOKUP(A76,StandardBrain[Name],StandardBrain[Skill],,,),IF(RIGHT(_xlfn.XLOOKUP(A76,StandardBrain[Name],StandardBrain[Skill],,,),1)="(",IF(AND(B76="all",D76=0),"",B76),""),IF(RIGHT(_xlfn.XLOOKUP(A76,StandardBrain[Name],StandardBrain[Skill],,,),1)="(",")","")," ",IF(_xlfn.XLOOKUP(A76,StandardBrain[Name],StandardBrain[Characteristic],,,)="N/A","",D76+IF(_xlfn.XLOOKUP(A76,StandardBrain[Name],StandardBrain[Characteristic],,,)="INT",$I$66,IF($B$19&gt;0,$M$19,$B$13))),", "))</f>
        <v/>
      </c>
      <c r="P76" s="138">
        <f>IF(AND(A76="Science ()",B76="all"),(_xlfn.XLOOKUP(A76,StandardBrain[Name],StandardBrain[Cr],,,)*10^(D76))*8,IF(B76="all",(_xlfn.XLOOKUP(A76,StandardBrain[Name],StandardBrain[Cr],,,)*10^(D76))*4,IF(A76="N/A",0,_xlfn.XLOOKUP(A76,StandardBrain[Name],StandardBrain[Cr],,,)*10^(D76))))</f>
        <v>0</v>
      </c>
      <c r="R76" s="206"/>
      <c r="S76" s="207"/>
      <c r="T76" s="207"/>
      <c r="U76" s="207"/>
      <c r="V76" s="207"/>
      <c r="W76" s="207"/>
      <c r="X76" s="207"/>
      <c r="Y76" s="207"/>
      <c r="Z76" s="208"/>
    </row>
    <row r="77" spans="1:26" ht="12" customHeight="1" x14ac:dyDescent="0.35">
      <c r="A77" s="30" t="s">
        <v>117</v>
      </c>
      <c r="B77" s="193"/>
      <c r="C77" s="227"/>
      <c r="D77" s="57"/>
      <c r="E77" s="39"/>
      <c r="G77" s="59" t="str">
        <f>IF(A77="N/A","",IF(AND(A77="Science ()",B77="all"),(D77+_xlfn.XLOOKUP(A77,StandardBrain[Name],StandardBrain[Bandwidth],,,))*8,IF(B77="all",(D77+_xlfn.XLOOKUP(A77,StandardBrain[Name],StandardBrain[Bandwidth],,,))*4,IF(A77="N/A","",D77+_xlfn.XLOOKUP(A77,StandardBrain[Name],StandardBrain[Bandwidth],,,)))))</f>
        <v/>
      </c>
      <c r="I77" s="58" t="str">
        <f>_xlfn.XLOOKUP(A77,StandardBrain[Name],StandardBrain[Characteristic],,,)</f>
        <v xml:space="preserve"> </v>
      </c>
      <c r="K77" s="43">
        <f>_xlfn.XLOOKUP(A77,StandardBrain[Name],StandardBrain[TL],,,)+D77</f>
        <v>0</v>
      </c>
      <c r="O77" s="12" t="str">
        <f>IF(_xlfn.XLOOKUP(A77,StandardBrain[Name],StandardBrain[Skill],,,)="","",_xlfn.CONCAT(_xlfn.XLOOKUP(A77,StandardBrain[Name],StandardBrain[Skill],,,),IF(RIGHT(_xlfn.XLOOKUP(A77,StandardBrain[Name],StandardBrain[Skill],,,),1)="(",IF(AND(B77="all",D77=0),"",B77),""),IF(RIGHT(_xlfn.XLOOKUP(A77,StandardBrain[Name],StandardBrain[Skill],,,),1)="(",")","")," ",IF(_xlfn.XLOOKUP(A77,StandardBrain[Name],StandardBrain[Characteristic],,,)="N/A","",D77+IF(_xlfn.XLOOKUP(A77,StandardBrain[Name],StandardBrain[Characteristic],,,)="INT",$I$66,IF($B$19&gt;0,$M$19,$B$13))),", "))</f>
        <v/>
      </c>
      <c r="P77" s="138">
        <f>IF(AND(A77="Science ()",B77="all"),(_xlfn.XLOOKUP(A77,StandardBrain[Name],StandardBrain[Cr],,,)*10^(D77))*8,IF(B77="all",(_xlfn.XLOOKUP(A77,StandardBrain[Name],StandardBrain[Cr],,,)*10^(D77))*4,IF(A77="N/A",0,_xlfn.XLOOKUP(A77,StandardBrain[Name],StandardBrain[Cr],,,)*10^(D77))))</f>
        <v>0</v>
      </c>
    </row>
    <row r="78" spans="1:26" ht="12" customHeight="1" x14ac:dyDescent="0.35">
      <c r="A78" s="30" t="s">
        <v>117</v>
      </c>
      <c r="B78" s="193"/>
      <c r="C78" s="227"/>
      <c r="D78" s="57"/>
      <c r="E78" s="39"/>
      <c r="G78" s="59" t="str">
        <f>IF(A78="N/A","",IF(AND(A78="Science ()",B78="all"),(D78+_xlfn.XLOOKUP(A78,StandardBrain[Name],StandardBrain[Bandwidth],,,))*8,IF(B78="all",(D78+_xlfn.XLOOKUP(A78,StandardBrain[Name],StandardBrain[Bandwidth],,,))*4,IF(A78="N/A","",D78+_xlfn.XLOOKUP(A78,StandardBrain[Name],StandardBrain[Bandwidth],,,)))))</f>
        <v/>
      </c>
      <c r="I78" s="58" t="str">
        <f>_xlfn.XLOOKUP(A78,StandardBrain[Name],StandardBrain[Characteristic],,,)</f>
        <v xml:space="preserve"> </v>
      </c>
      <c r="K78" s="43">
        <f>_xlfn.XLOOKUP(A78,StandardBrain[Name],StandardBrain[TL],,,)+D78</f>
        <v>0</v>
      </c>
      <c r="O78" s="12" t="str">
        <f>IF(_xlfn.XLOOKUP(A78,StandardBrain[Name],StandardBrain[Skill],,,)="","",_xlfn.CONCAT(_xlfn.XLOOKUP(A78,StandardBrain[Name],StandardBrain[Skill],,,),IF(RIGHT(_xlfn.XLOOKUP(A78,StandardBrain[Name],StandardBrain[Skill],,,),1)="(",IF(AND(B78="all",D78=0),"",B78),""),IF(RIGHT(_xlfn.XLOOKUP(A78,StandardBrain[Name],StandardBrain[Skill],,,),1)="(",")","")," ",IF(_xlfn.XLOOKUP(A78,StandardBrain[Name],StandardBrain[Characteristic],,,)="N/A","",D78+IF(_xlfn.XLOOKUP(A78,StandardBrain[Name],StandardBrain[Characteristic],,,)="INT",$I$66,IF($B$19&gt;0,$M$19,$B$13))),", "))</f>
        <v/>
      </c>
      <c r="P78" s="138">
        <f>IF(AND(A78="Science ()",B78="all"),(_xlfn.XLOOKUP(A78,StandardBrain[Name],StandardBrain[Cr],,,)*10^(D78))*8,IF(B78="all",(_xlfn.XLOOKUP(A78,StandardBrain[Name],StandardBrain[Cr],,,)*10^(D78))*4,IF(A78="N/A",0,_xlfn.XLOOKUP(A78,StandardBrain[Name],StandardBrain[Cr],,,)*10^(D78))))</f>
        <v>0</v>
      </c>
    </row>
    <row r="79" spans="1:26" ht="12" customHeight="1" x14ac:dyDescent="0.35">
      <c r="A79" s="30" t="s">
        <v>117</v>
      </c>
      <c r="B79" s="193"/>
      <c r="C79" s="227"/>
      <c r="D79" s="57"/>
      <c r="E79" s="39"/>
      <c r="G79" s="59" t="str">
        <f>IF(A79="N/A","",IF(AND(A79="Science ()",B79="all"),(D79+_xlfn.XLOOKUP(A79,StandardBrain[Name],StandardBrain[Bandwidth],,,))*8,IF(B79="all",(D79+_xlfn.XLOOKUP(A79,StandardBrain[Name],StandardBrain[Bandwidth],,,))*4,IF(A79="N/A","",D79+_xlfn.XLOOKUP(A79,StandardBrain[Name],StandardBrain[Bandwidth],,,)))))</f>
        <v/>
      </c>
      <c r="I79" s="58" t="str">
        <f>_xlfn.XLOOKUP(A79,StandardBrain[Name],StandardBrain[Characteristic],,,)</f>
        <v xml:space="preserve"> </v>
      </c>
      <c r="K79" s="43">
        <f>_xlfn.XLOOKUP(A79,StandardBrain[Name],StandardBrain[TL],,,)+D79</f>
        <v>0</v>
      </c>
      <c r="O79" s="12" t="str">
        <f>IF(_xlfn.XLOOKUP(A79,StandardBrain[Name],StandardBrain[Skill],,,)="","",_xlfn.CONCAT(_xlfn.XLOOKUP(A79,StandardBrain[Name],StandardBrain[Skill],,,),IF(RIGHT(_xlfn.XLOOKUP(A79,StandardBrain[Name],StandardBrain[Skill],,,),1)="(",IF(AND(B79="all",D79=0),"",B79),""),IF(RIGHT(_xlfn.XLOOKUP(A79,StandardBrain[Name],StandardBrain[Skill],,,),1)="(",")","")," ",IF(_xlfn.XLOOKUP(A79,StandardBrain[Name],StandardBrain[Characteristic],,,)="N/A","",D79+IF(_xlfn.XLOOKUP(A79,StandardBrain[Name],StandardBrain[Characteristic],,,)="INT",$I$66,IF($B$19&gt;0,$M$19,$B$13))),", "))</f>
        <v/>
      </c>
      <c r="P79" s="138">
        <f>IF(AND(A79="Science ()",B79="all"),(_xlfn.XLOOKUP(A79,StandardBrain[Name],StandardBrain[Cr],,,)*10^(D79))*8,IF(B79="all",(_xlfn.XLOOKUP(A79,StandardBrain[Name],StandardBrain[Cr],,,)*10^(D79))*4,IF(A79="N/A",0,_xlfn.XLOOKUP(A79,StandardBrain[Name],StandardBrain[Cr],,,)*10^(D79))))</f>
        <v>0</v>
      </c>
    </row>
    <row r="80" spans="1:26" ht="12" customHeight="1" x14ac:dyDescent="0.35">
      <c r="A80" s="30" t="s">
        <v>117</v>
      </c>
      <c r="B80" s="193"/>
      <c r="C80" s="227"/>
      <c r="D80" s="57"/>
      <c r="E80" s="39"/>
      <c r="G80" s="59" t="str">
        <f>IF(A80="N/A","",IF(AND(A80="Science ()",B80="all"),(D80+_xlfn.XLOOKUP(A80,StandardBrain[Name],StandardBrain[Bandwidth],,,))*8,IF(B80="all",(D80+_xlfn.XLOOKUP(A80,StandardBrain[Name],StandardBrain[Bandwidth],,,))*4,IF(A80="N/A","",D80+_xlfn.XLOOKUP(A80,StandardBrain[Name],StandardBrain[Bandwidth],,,)))))</f>
        <v/>
      </c>
      <c r="I80" s="58" t="str">
        <f>_xlfn.XLOOKUP(A80,StandardBrain[Name],StandardBrain[Characteristic],,,)</f>
        <v xml:space="preserve"> </v>
      </c>
      <c r="K80" s="43">
        <f>_xlfn.XLOOKUP(A80,StandardBrain[Name],StandardBrain[TL],,,)+D80</f>
        <v>0</v>
      </c>
      <c r="O80" s="12" t="str">
        <f>IF(_xlfn.XLOOKUP(A80,StandardBrain[Name],StandardBrain[Skill],,,)="","",_xlfn.CONCAT(_xlfn.XLOOKUP(A80,StandardBrain[Name],StandardBrain[Skill],,,),IF(RIGHT(_xlfn.XLOOKUP(A80,StandardBrain[Name],StandardBrain[Skill],,,),1)="(",IF(AND(B80="all",D80=0),"",B80),""),IF(RIGHT(_xlfn.XLOOKUP(A80,StandardBrain[Name],StandardBrain[Skill],,,),1)="(",")","")," ",IF(_xlfn.XLOOKUP(A80,StandardBrain[Name],StandardBrain[Characteristic],,,)="N/A","",D80+IF(_xlfn.XLOOKUP(A80,StandardBrain[Name],StandardBrain[Characteristic],,,)="INT",$I$66,IF($B$19&gt;0,$M$19,$B$13))),", "))</f>
        <v/>
      </c>
      <c r="P80" s="138">
        <f>IF(AND(A80="Science ()",B80="all"),(_xlfn.XLOOKUP(A80,StandardBrain[Name],StandardBrain[Cr],,,)*10^(D80))*8,IF(B80="all",(_xlfn.XLOOKUP(A80,StandardBrain[Name],StandardBrain[Cr],,,)*10^(D80))*4,IF(A80="N/A",0,_xlfn.XLOOKUP(A80,StandardBrain[Name],StandardBrain[Cr],,,)*10^(D80))))</f>
        <v>0</v>
      </c>
    </row>
    <row r="81" spans="1:16" ht="12" customHeight="1" x14ac:dyDescent="0.35">
      <c r="A81" s="30" t="s">
        <v>117</v>
      </c>
      <c r="B81" s="193"/>
      <c r="C81" s="227"/>
      <c r="D81" s="57"/>
      <c r="E81" s="39"/>
      <c r="G81" s="59" t="str">
        <f>IF(A81="N/A","",IF(AND(A81="Science ()",B81="all"),(D81+_xlfn.XLOOKUP(A81,StandardBrain[Name],StandardBrain[Bandwidth],,,))*8,IF(B81="all",(D81+_xlfn.XLOOKUP(A81,StandardBrain[Name],StandardBrain[Bandwidth],,,))*4,IF(A81="N/A","",D81+_xlfn.XLOOKUP(A81,StandardBrain[Name],StandardBrain[Bandwidth],,,)))))</f>
        <v/>
      </c>
      <c r="I81" s="58" t="str">
        <f>_xlfn.XLOOKUP(A81,StandardBrain[Name],StandardBrain[Characteristic],,,)</f>
        <v xml:space="preserve"> </v>
      </c>
      <c r="K81" s="43">
        <f>_xlfn.XLOOKUP(A81,StandardBrain[Name],StandardBrain[TL],,,)+D81</f>
        <v>0</v>
      </c>
      <c r="O81" s="12" t="str">
        <f>IF(_xlfn.XLOOKUP(A81,StandardBrain[Name],StandardBrain[Skill],,,)="","",_xlfn.CONCAT(_xlfn.XLOOKUP(A81,StandardBrain[Name],StandardBrain[Skill],,,),IF(RIGHT(_xlfn.XLOOKUP(A81,StandardBrain[Name],StandardBrain[Skill],,,),1)="(",IF(AND(B81="all",D81=0),"",B81),""),IF(RIGHT(_xlfn.XLOOKUP(A81,StandardBrain[Name],StandardBrain[Skill],,,),1)="(",")","")," ",IF(_xlfn.XLOOKUP(A81,StandardBrain[Name],StandardBrain[Characteristic],,,)="N/A","",D81+IF(_xlfn.XLOOKUP(A81,StandardBrain[Name],StandardBrain[Characteristic],,,)="INT",$I$66,IF($B$19&gt;0,$M$19,$B$13))),", "))</f>
        <v/>
      </c>
      <c r="P81" s="138">
        <f>IF(AND(A81="Science ()",B81="all"),(_xlfn.XLOOKUP(A81,StandardBrain[Name],StandardBrain[Cr],,,)*10^(D81))*8,IF(B81="all",(_xlfn.XLOOKUP(A81,StandardBrain[Name],StandardBrain[Cr],,,)*10^(D81))*4,IF(A81="N/A",0,_xlfn.XLOOKUP(A81,StandardBrain[Name],StandardBrain[Cr],,,)*10^(D81))))</f>
        <v>0</v>
      </c>
    </row>
    <row r="82" spans="1:16" ht="12" customHeight="1" x14ac:dyDescent="0.35">
      <c r="A82" s="30" t="s">
        <v>117</v>
      </c>
      <c r="B82" s="193"/>
      <c r="C82" s="227"/>
      <c r="D82" s="57"/>
      <c r="E82" s="39"/>
      <c r="G82" s="59" t="str">
        <f>IF(A82="N/A","",IF(AND(A82="Science ()",B82="all"),(D82+_xlfn.XLOOKUP(A82,StandardBrain[Name],StandardBrain[Bandwidth],,,))*8,IF(B82="all",(D82+_xlfn.XLOOKUP(A82,StandardBrain[Name],StandardBrain[Bandwidth],,,))*4,IF(A82="N/A","",D82+_xlfn.XLOOKUP(A82,StandardBrain[Name],StandardBrain[Bandwidth],,,)))))</f>
        <v/>
      </c>
      <c r="I82" s="58" t="str">
        <f>_xlfn.XLOOKUP(A82,StandardBrain[Name],StandardBrain[Characteristic],,,)</f>
        <v xml:space="preserve"> </v>
      </c>
      <c r="K82" s="43">
        <f>_xlfn.XLOOKUP(A82,StandardBrain[Name],StandardBrain[TL],,,)+D82</f>
        <v>0</v>
      </c>
      <c r="O82" s="12" t="str">
        <f>IF(_xlfn.XLOOKUP(A82,StandardBrain[Name],StandardBrain[Skill],,,)="","",_xlfn.CONCAT(_xlfn.XLOOKUP(A82,StandardBrain[Name],StandardBrain[Skill],,,),IF(RIGHT(_xlfn.XLOOKUP(A82,StandardBrain[Name],StandardBrain[Skill],,,),1)="(",IF(AND(B82="all",D82=0),"",B82),""),IF(RIGHT(_xlfn.XLOOKUP(A82,StandardBrain[Name],StandardBrain[Skill],,,),1)="(",")","")," ",IF(_xlfn.XLOOKUP(A82,StandardBrain[Name],StandardBrain[Characteristic],,,)="N/A","",D82+IF(_xlfn.XLOOKUP(A82,StandardBrain[Name],StandardBrain[Characteristic],,,)="INT",$I$66,IF($B$19&gt;0,$M$19,$B$13))),", "))</f>
        <v/>
      </c>
      <c r="P82" s="138">
        <f>IF(AND(A82="Science ()",B82="all"),(_xlfn.XLOOKUP(A82,StandardBrain[Name],StandardBrain[Cr],,,)*10^(D82))*8,IF(B82="all",(_xlfn.XLOOKUP(A82,StandardBrain[Name],StandardBrain[Cr],,,)*10^(D82))*4,IF(A82="N/A",0,_xlfn.XLOOKUP(A82,StandardBrain[Name],StandardBrain[Cr],,,)*10^(D82))))</f>
        <v>0</v>
      </c>
    </row>
    <row r="83" spans="1:16" ht="12" customHeight="1" x14ac:dyDescent="0.35">
      <c r="A83" s="30" t="s">
        <v>117</v>
      </c>
      <c r="B83" s="193"/>
      <c r="C83" s="227"/>
      <c r="D83" s="57"/>
      <c r="E83" s="39"/>
      <c r="G83" s="59" t="str">
        <f>IF(A83="N/A","",IF(AND(A83="Science ()",B83="all"),(D83+_xlfn.XLOOKUP(A83,StandardBrain[Name],StandardBrain[Bandwidth],,,))*8,IF(B83="all",(D83+_xlfn.XLOOKUP(A83,StandardBrain[Name],StandardBrain[Bandwidth],,,))*4,IF(A83="N/A","",D83+_xlfn.XLOOKUP(A83,StandardBrain[Name],StandardBrain[Bandwidth],,,)))))</f>
        <v/>
      </c>
      <c r="I83" s="58" t="str">
        <f>_xlfn.XLOOKUP(A83,StandardBrain[Name],StandardBrain[Characteristic],,,)</f>
        <v xml:space="preserve"> </v>
      </c>
      <c r="K83" s="43">
        <f>_xlfn.XLOOKUP(A83,StandardBrain[Name],StandardBrain[TL],,,)+D83</f>
        <v>0</v>
      </c>
      <c r="O83" s="12" t="str">
        <f>IF(_xlfn.XLOOKUP(A83,StandardBrain[Name],StandardBrain[Skill],,,)="","",_xlfn.CONCAT(_xlfn.XLOOKUP(A83,StandardBrain[Name],StandardBrain[Skill],,,),IF(RIGHT(_xlfn.XLOOKUP(A83,StandardBrain[Name],StandardBrain[Skill],,,),1)="(",IF(AND(B83="all",D83=0),"",B83),""),IF(RIGHT(_xlfn.XLOOKUP(A83,StandardBrain[Name],StandardBrain[Skill],,,),1)="(",")","")," ",IF(_xlfn.XLOOKUP(A83,StandardBrain[Name],StandardBrain[Characteristic],,,)="N/A","",D83+IF(_xlfn.XLOOKUP(A83,StandardBrain[Name],StandardBrain[Characteristic],,,)="INT",$I$66,IF($B$19&gt;0,$M$19,$B$13))),", "))</f>
        <v/>
      </c>
      <c r="P83" s="138">
        <f>IF(AND(A83="Science ()",B83="all"),(_xlfn.XLOOKUP(A83,StandardBrain[Name],StandardBrain[Cr],,,)*10^(D83))*8,IF(B83="all",(_xlfn.XLOOKUP(A83,StandardBrain[Name],StandardBrain[Cr],,,)*10^(D83))*4,IF(A83="N/A",0,_xlfn.XLOOKUP(A83,StandardBrain[Name],StandardBrain[Cr],,,)*10^(D83))))</f>
        <v>0</v>
      </c>
    </row>
    <row r="84" spans="1:16" ht="12" customHeight="1" x14ac:dyDescent="0.35">
      <c r="A84" s="30" t="s">
        <v>117</v>
      </c>
      <c r="B84" s="193"/>
      <c r="C84" s="227"/>
      <c r="D84" s="57"/>
      <c r="E84" s="39"/>
      <c r="G84" s="59" t="str">
        <f>IF(A84="N/A","",IF(AND(A84="Science ()",B84="all"),(D84+_xlfn.XLOOKUP(A84,StandardBrain[Name],StandardBrain[Bandwidth],,,))*8,IF(B84="all",(D84+_xlfn.XLOOKUP(A84,StandardBrain[Name],StandardBrain[Bandwidth],,,))*4,IF(A84="N/A","",D84+_xlfn.XLOOKUP(A84,StandardBrain[Name],StandardBrain[Bandwidth],,,)))))</f>
        <v/>
      </c>
      <c r="I84" s="58" t="str">
        <f>_xlfn.XLOOKUP(A84,StandardBrain[Name],StandardBrain[Characteristic],,,)</f>
        <v xml:space="preserve"> </v>
      </c>
      <c r="K84" s="43">
        <f>_xlfn.XLOOKUP(A84,StandardBrain[Name],StandardBrain[TL],,,)+D84</f>
        <v>0</v>
      </c>
      <c r="O84" s="12" t="str">
        <f>IF(_xlfn.XLOOKUP(A84,StandardBrain[Name],StandardBrain[Skill],,,)="","",_xlfn.CONCAT(_xlfn.XLOOKUP(A84,StandardBrain[Name],StandardBrain[Skill],,,),IF(RIGHT(_xlfn.XLOOKUP(A84,StandardBrain[Name],StandardBrain[Skill],,,),1)="(",IF(AND(B84="all",D84=0),"",B84),""),IF(RIGHT(_xlfn.XLOOKUP(A84,StandardBrain[Name],StandardBrain[Skill],,,),1)="(",")","")," ",IF(_xlfn.XLOOKUP(A84,StandardBrain[Name],StandardBrain[Characteristic],,,)="N/A","",D84+IF(_xlfn.XLOOKUP(A84,StandardBrain[Name],StandardBrain[Characteristic],,,)="INT",$I$66,IF($B$19&gt;0,$M$19,$B$13))),", "))</f>
        <v/>
      </c>
      <c r="P84" s="138">
        <f>IF(AND(A84="Science ()",B84="all"),(_xlfn.XLOOKUP(A84,StandardBrain[Name],StandardBrain[Cr],,,)*10^(D84))*8,IF(B84="all",(_xlfn.XLOOKUP(A84,StandardBrain[Name],StandardBrain[Cr],,,)*10^(D84))*4,IF(A84="N/A",0,_xlfn.XLOOKUP(A84,StandardBrain[Name],StandardBrain[Cr],,,)*10^(D84))))</f>
        <v>0</v>
      </c>
    </row>
    <row r="85" spans="1:16" ht="12" customHeight="1" x14ac:dyDescent="0.35">
      <c r="A85" s="30" t="s">
        <v>117</v>
      </c>
      <c r="B85" s="193"/>
      <c r="C85" s="227"/>
      <c r="D85" s="57"/>
      <c r="E85" s="39"/>
      <c r="G85" s="59" t="str">
        <f>IF(A85="N/A","",IF(AND(A85="Science ()",B85="all"),(D85+_xlfn.XLOOKUP(A85,StandardBrain[Name],StandardBrain[Bandwidth],,,))*8,IF(B85="all",(D85+_xlfn.XLOOKUP(A85,StandardBrain[Name],StandardBrain[Bandwidth],,,))*4,IF(A85="N/A","",D85+_xlfn.XLOOKUP(A85,StandardBrain[Name],StandardBrain[Bandwidth],,,)))))</f>
        <v/>
      </c>
      <c r="I85" s="58" t="str">
        <f>_xlfn.XLOOKUP(A85,StandardBrain[Name],StandardBrain[Characteristic],,,)</f>
        <v xml:space="preserve"> </v>
      </c>
      <c r="K85" s="43">
        <f>_xlfn.XLOOKUP(A85,StandardBrain[Name],StandardBrain[TL],,,)+D85</f>
        <v>0</v>
      </c>
      <c r="O85" s="12" t="str">
        <f>IF(_xlfn.XLOOKUP(A85,StandardBrain[Name],StandardBrain[Skill],,,)="","",_xlfn.CONCAT(_xlfn.XLOOKUP(A85,StandardBrain[Name],StandardBrain[Skill],,,),IF(RIGHT(_xlfn.XLOOKUP(A85,StandardBrain[Name],StandardBrain[Skill],,,),1)="(",IF(AND(B85="all",D85=0),"",B85),""),IF(RIGHT(_xlfn.XLOOKUP(A85,StandardBrain[Name],StandardBrain[Skill],,,),1)="(",")","")," ",IF(_xlfn.XLOOKUP(A85,StandardBrain[Name],StandardBrain[Characteristic],,,)="N/A","",D85+IF(_xlfn.XLOOKUP(A85,StandardBrain[Name],StandardBrain[Characteristic],,,)="INT",$I$66,IF($B$19&gt;0,$M$19,$B$13))),", "))</f>
        <v/>
      </c>
      <c r="P85" s="138">
        <f>IF(AND(A85="Science ()",B85="all"),(_xlfn.XLOOKUP(A85,StandardBrain[Name],StandardBrain[Cr],,,)*10^(D85))*8,IF(B85="all",(_xlfn.XLOOKUP(A85,StandardBrain[Name],StandardBrain[Cr],,,)*10^(D85))*4,IF(A85="N/A",0,_xlfn.XLOOKUP(A85,StandardBrain[Name],StandardBrain[Cr],,,)*10^(D85))))</f>
        <v>0</v>
      </c>
    </row>
    <row r="86" spans="1:16" ht="12" customHeight="1" x14ac:dyDescent="0.35">
      <c r="A86" s="30" t="s">
        <v>117</v>
      </c>
      <c r="B86" s="193"/>
      <c r="C86" s="227"/>
      <c r="D86" s="57"/>
      <c r="E86" s="39"/>
      <c r="G86" s="59" t="str">
        <f>IF(A86="N/A","",IF(AND(A86="Science ()",B86="all"),(D86+_xlfn.XLOOKUP(A86,StandardBrain[Name],StandardBrain[Bandwidth],,,))*8,IF(B86="all",(D86+_xlfn.XLOOKUP(A86,StandardBrain[Name],StandardBrain[Bandwidth],,,))*4,IF(A86="N/A","",D86+_xlfn.XLOOKUP(A86,StandardBrain[Name],StandardBrain[Bandwidth],,,)))))</f>
        <v/>
      </c>
      <c r="I86" s="58" t="str">
        <f>_xlfn.XLOOKUP(A86,StandardBrain[Name],StandardBrain[Characteristic],,,)</f>
        <v xml:space="preserve"> </v>
      </c>
      <c r="K86" s="43">
        <f>_xlfn.XLOOKUP(A86,StandardBrain[Name],StandardBrain[TL],,,)+D86</f>
        <v>0</v>
      </c>
      <c r="O86" s="12" t="str">
        <f>IF(_xlfn.XLOOKUP(A86,StandardBrain[Name],StandardBrain[Skill],,,)="","",_xlfn.CONCAT(_xlfn.XLOOKUP(A86,StandardBrain[Name],StandardBrain[Skill],,,),IF(RIGHT(_xlfn.XLOOKUP(A86,StandardBrain[Name],StandardBrain[Skill],,,),1)="(",IF(AND(B86="all",D86=0),"",B86),""),IF(RIGHT(_xlfn.XLOOKUP(A86,StandardBrain[Name],StandardBrain[Skill],,,),1)="(",")","")," ",IF(_xlfn.XLOOKUP(A86,StandardBrain[Name],StandardBrain[Characteristic],,,)="N/A","",D86+IF(_xlfn.XLOOKUP(A86,StandardBrain[Name],StandardBrain[Characteristic],,,)="INT",$I$66,IF($B$19&gt;0,$M$19,$B$13))),", "))</f>
        <v/>
      </c>
      <c r="P86" s="138">
        <f>IF(AND(A86="Science ()",B86="all"),(_xlfn.XLOOKUP(A86,StandardBrain[Name],StandardBrain[Cr],,,)*10^(D86))*8,IF(B86="all",(_xlfn.XLOOKUP(A86,StandardBrain[Name],StandardBrain[Cr],,,)*10^(D86))*4,IF(A86="N/A",0,_xlfn.XLOOKUP(A86,StandardBrain[Name],StandardBrain[Cr],,,)*10^(D86))))</f>
        <v>0</v>
      </c>
    </row>
    <row r="87" spans="1:16" ht="12" customHeight="1" x14ac:dyDescent="0.35">
      <c r="A87" s="30" t="s">
        <v>117</v>
      </c>
      <c r="B87" s="193"/>
      <c r="C87" s="227"/>
      <c r="D87" s="57"/>
      <c r="E87" s="39"/>
      <c r="G87" s="59" t="str">
        <f>IF(A87="N/A","",IF(AND(A87="Science ()",B87="all"),(D87+_xlfn.XLOOKUP(A87,StandardBrain[Name],StandardBrain[Bandwidth],,,))*8,IF(B87="all",(D87+_xlfn.XLOOKUP(A87,StandardBrain[Name],StandardBrain[Bandwidth],,,))*4,IF(A87="N/A","",D87+_xlfn.XLOOKUP(A87,StandardBrain[Name],StandardBrain[Bandwidth],,,)))))</f>
        <v/>
      </c>
      <c r="I87" s="58" t="str">
        <f>_xlfn.XLOOKUP(A87,StandardBrain[Name],StandardBrain[Characteristic],,,)</f>
        <v xml:space="preserve"> </v>
      </c>
      <c r="K87" s="43">
        <f>_xlfn.XLOOKUP(A87,StandardBrain[Name],StandardBrain[TL],,,)+D87</f>
        <v>0</v>
      </c>
      <c r="O87" s="12" t="str">
        <f>IF(_xlfn.XLOOKUP(A87,StandardBrain[Name],StandardBrain[Skill],,,)="","",_xlfn.CONCAT(_xlfn.XLOOKUP(A87,StandardBrain[Name],StandardBrain[Skill],,,),IF(RIGHT(_xlfn.XLOOKUP(A87,StandardBrain[Name],StandardBrain[Skill],,,),1)="(",IF(AND(B87="all",D87=0),"",B87),""),IF(RIGHT(_xlfn.XLOOKUP(A87,StandardBrain[Name],StandardBrain[Skill],,,),1)="(",")","")," ",IF(_xlfn.XLOOKUP(A87,StandardBrain[Name],StandardBrain[Characteristic],,,)="N/A","",D87+IF(_xlfn.XLOOKUP(A87,StandardBrain[Name],StandardBrain[Characteristic],,,)="INT",$I$66,IF($B$19&gt;0,$M$19,$B$13))),", "))</f>
        <v/>
      </c>
      <c r="P87" s="138">
        <f>IF(AND(A87="Science ()",B87="all"),(_xlfn.XLOOKUP(A87,StandardBrain[Name],StandardBrain[Cr],,,)*10^(D87))*8,IF(B87="all",(_xlfn.XLOOKUP(A87,StandardBrain[Name],StandardBrain[Cr],,,)*10^(D87))*4,IF(A87="N/A",0,_xlfn.XLOOKUP(A87,StandardBrain[Name],StandardBrain[Cr],,,)*10^(D87))))</f>
        <v>0</v>
      </c>
    </row>
    <row r="88" spans="1:16" ht="12" customHeight="1" x14ac:dyDescent="0.35">
      <c r="A88" s="30" t="s">
        <v>117</v>
      </c>
      <c r="B88" s="193"/>
      <c r="C88" s="227"/>
      <c r="D88" s="57"/>
      <c r="E88" s="39"/>
      <c r="G88" s="59" t="str">
        <f>IF(A88="N/A","",IF(AND(A88="Science ()",B88="all"),(D88+_xlfn.XLOOKUP(A88,StandardBrain[Name],StandardBrain[Bandwidth],,,))*8,IF(B88="all",(D88+_xlfn.XLOOKUP(A88,StandardBrain[Name],StandardBrain[Bandwidth],,,))*4,IF(A88="N/A","",D88+_xlfn.XLOOKUP(A88,StandardBrain[Name],StandardBrain[Bandwidth],,,)))))</f>
        <v/>
      </c>
      <c r="I88" s="58" t="str">
        <f>_xlfn.XLOOKUP(A88,StandardBrain[Name],StandardBrain[Characteristic],,,)</f>
        <v xml:space="preserve"> </v>
      </c>
      <c r="K88" s="43">
        <f>_xlfn.XLOOKUP(A88,StandardBrain[Name],StandardBrain[TL],,,)+D88</f>
        <v>0</v>
      </c>
      <c r="O88" s="12" t="str">
        <f>IF(_xlfn.XLOOKUP(A88,StandardBrain[Name],StandardBrain[Skill],,,)="","",_xlfn.CONCAT(_xlfn.XLOOKUP(A88,StandardBrain[Name],StandardBrain[Skill],,,),IF(RIGHT(_xlfn.XLOOKUP(A88,StandardBrain[Name],StandardBrain[Skill],,,),1)="(",IF(AND(B88="all",D88=0),"",B88),""),IF(RIGHT(_xlfn.XLOOKUP(A88,StandardBrain[Name],StandardBrain[Skill],,,),1)="(",")","")," ",IF(_xlfn.XLOOKUP(A88,StandardBrain[Name],StandardBrain[Characteristic],,,)="N/A","",D88+IF(_xlfn.XLOOKUP(A88,StandardBrain[Name],StandardBrain[Characteristic],,,)="INT",$I$66,IF($B$19&gt;0,$M$19,$B$13))),", "))</f>
        <v/>
      </c>
      <c r="P88" s="138">
        <f>IF(AND(A88="Science ()",B88="all"),(_xlfn.XLOOKUP(A88,StandardBrain[Name],StandardBrain[Cr],,,)*10^(D88))*8,IF(B88="all",(_xlfn.XLOOKUP(A88,StandardBrain[Name],StandardBrain[Cr],,,)*10^(D88))*4,IF(A88="N/A",0,_xlfn.XLOOKUP(A88,StandardBrain[Name],StandardBrain[Cr],,,)*10^(D88))))</f>
        <v>0</v>
      </c>
    </row>
    <row r="89" spans="1:16" ht="12" customHeight="1" x14ac:dyDescent="0.35">
      <c r="A89" s="30" t="s">
        <v>117</v>
      </c>
      <c r="B89" s="193"/>
      <c r="C89" s="227"/>
      <c r="D89" s="57"/>
      <c r="E89" s="39"/>
      <c r="G89" s="59" t="str">
        <f>IF(A89="N/A","",IF(AND(A89="Science ()",B89="all"),(D89+_xlfn.XLOOKUP(A89,StandardBrain[Name],StandardBrain[Bandwidth],,,))*8,IF(B89="all",(D89+_xlfn.XLOOKUP(A89,StandardBrain[Name],StandardBrain[Bandwidth],,,))*4,IF(A89="N/A","",D89+_xlfn.XLOOKUP(A89,StandardBrain[Name],StandardBrain[Bandwidth],,,)))))</f>
        <v/>
      </c>
      <c r="I89" s="58" t="str">
        <f>_xlfn.XLOOKUP(A89,StandardBrain[Name],StandardBrain[Characteristic],,,)</f>
        <v xml:space="preserve"> </v>
      </c>
      <c r="K89" s="43">
        <f>_xlfn.XLOOKUP(A89,StandardBrain[Name],StandardBrain[TL],,,)+D89</f>
        <v>0</v>
      </c>
      <c r="O89" s="12" t="str">
        <f>IF(_xlfn.XLOOKUP(A89,StandardBrain[Name],StandardBrain[Skill],,,)="","",_xlfn.CONCAT(_xlfn.XLOOKUP(A89,StandardBrain[Name],StandardBrain[Skill],,,),IF(RIGHT(_xlfn.XLOOKUP(A89,StandardBrain[Name],StandardBrain[Skill],,,),1)="(",IF(AND(B89="all",D89=0),"",B89),""),IF(RIGHT(_xlfn.XLOOKUP(A89,StandardBrain[Name],StandardBrain[Skill],,,),1)="(",")","")," ",IF(_xlfn.XLOOKUP(A89,StandardBrain[Name],StandardBrain[Characteristic],,,)="N/A","",D89+IF(_xlfn.XLOOKUP(A89,StandardBrain[Name],StandardBrain[Characteristic],,,)="INT",$I$66,IF($B$19&gt;0,$M$19,$B$13))),", "))</f>
        <v/>
      </c>
      <c r="P89" s="138">
        <f>IF(AND(A89="Science ()",B89="all"),(_xlfn.XLOOKUP(A89,StandardBrain[Name],StandardBrain[Cr],,,)*10^(D89))*8,IF(B89="all",(_xlfn.XLOOKUP(A89,StandardBrain[Name],StandardBrain[Cr],,,)*10^(D89))*4,IF(A89="N/A",0,_xlfn.XLOOKUP(A89,StandardBrain[Name],StandardBrain[Cr],,,)*10^(D89))))</f>
        <v>0</v>
      </c>
    </row>
    <row r="90" spans="1:16" ht="12" customHeight="1" thickBot="1" x14ac:dyDescent="0.4">
      <c r="A90" s="30" t="s">
        <v>117</v>
      </c>
      <c r="B90" s="193"/>
      <c r="C90" s="227"/>
      <c r="D90" s="57"/>
      <c r="E90" s="39"/>
      <c r="G90" s="59" t="str">
        <f>IF(A90="N/A","",IF(AND(A90="Science ()",B90="all"),(D90+_xlfn.XLOOKUP(A90,StandardBrain[Name],StandardBrain[Bandwidth],,,))*8,IF(B90="all",(D90+_xlfn.XLOOKUP(A90,StandardBrain[Name],StandardBrain[Bandwidth],,,))*4,IF(A90="N/A","",D90+_xlfn.XLOOKUP(A90,StandardBrain[Name],StandardBrain[Bandwidth],,,)))))</f>
        <v/>
      </c>
      <c r="I90" s="59" t="str">
        <f>_xlfn.XLOOKUP(A90,StandardBrain[Name],StandardBrain[Characteristic],,,)</f>
        <v xml:space="preserve"> </v>
      </c>
      <c r="K90" s="43">
        <f>_xlfn.XLOOKUP(A90,StandardBrain[Name],StandardBrain[TL],,,)+D90</f>
        <v>0</v>
      </c>
      <c r="O90" s="12" t="str">
        <f>IF(_xlfn.XLOOKUP(A90,StandardBrain[Name],StandardBrain[Skill],,,)="","",_xlfn.CONCAT(_xlfn.XLOOKUP(A90,StandardBrain[Name],StandardBrain[Skill],,,),IF(RIGHT(_xlfn.XLOOKUP(A90,StandardBrain[Name],StandardBrain[Skill],,,),1)="(",IF(AND(B90="all",D90=0),"",B90),""),IF(RIGHT(_xlfn.XLOOKUP(A90,StandardBrain[Name],StandardBrain[Skill],,,),1)="(",")","")," ",IF(_xlfn.XLOOKUP(A90,StandardBrain[Name],StandardBrain[Characteristic],,,)="N/A","",D90+IF(_xlfn.XLOOKUP(A90,StandardBrain[Name],StandardBrain[Characteristic],,,)="INT",$I$66,IF($B$19&gt;0,$M$19,$B$13))),", "))</f>
        <v/>
      </c>
      <c r="P90" s="138">
        <f>IF(AND(A90="Science ()",B90="all"),(_xlfn.XLOOKUP(A90,StandardBrain[Name],StandardBrain[Cr],,,)*10^(D90))*8,IF(B90="all",(_xlfn.XLOOKUP(A90,StandardBrain[Name],StandardBrain[Cr],,,)*10^(D90))*4,IF(A90="N/A",0,_xlfn.XLOOKUP(A90,StandardBrain[Name],StandardBrain[Cr],,,)*10^(D90))))</f>
        <v>0</v>
      </c>
    </row>
    <row r="91" spans="1:16" ht="12" customHeight="1" thickBot="1" x14ac:dyDescent="0.45">
      <c r="C91" s="1"/>
      <c r="O91" s="148" t="s">
        <v>796</v>
      </c>
      <c r="P91" s="146">
        <f>ROUNDUP(IF(COUNT(L36:L56)&gt;0,3,1)*SUM(P3:P67)+SUM(P69:P90),0)</f>
        <v>344350</v>
      </c>
    </row>
    <row r="92" spans="1:16" ht="12" customHeight="1" thickBot="1" x14ac:dyDescent="0.45">
      <c r="O92" s="148" t="str">
        <f>CONCATENATE("Cost With "&amp;X6*100 &amp; "% Discount")</f>
        <v>Cost With 10% Discount</v>
      </c>
      <c r="P92" s="146">
        <f>P2</f>
        <v>309900</v>
      </c>
    </row>
    <row r="105" spans="1:5" ht="12" customHeight="1" x14ac:dyDescent="0.4">
      <c r="B105" s="113"/>
      <c r="D105" s="112"/>
      <c r="E105" s="112"/>
    </row>
    <row r="106" spans="1:5" ht="12" customHeight="1" x14ac:dyDescent="0.4">
      <c r="B106" s="113"/>
      <c r="D106" s="112"/>
      <c r="E106" s="112"/>
    </row>
    <row r="107" spans="1:5" ht="12" customHeight="1" x14ac:dyDescent="0.35">
      <c r="A107" s="7"/>
    </row>
    <row r="108" spans="1:5" ht="12" customHeight="1" x14ac:dyDescent="0.35">
      <c r="B108" s="109"/>
    </row>
    <row r="109" spans="1:5" ht="12" customHeight="1" x14ac:dyDescent="0.4">
      <c r="B109" s="110"/>
    </row>
    <row r="110" spans="1:5" ht="12" customHeight="1" x14ac:dyDescent="0.35">
      <c r="A110" s="109"/>
      <c r="B110" s="111"/>
    </row>
  </sheetData>
  <sortState xmlns:xlrd2="http://schemas.microsoft.com/office/spreadsheetml/2017/richdata2" ref="A36:D43">
    <sortCondition ref="A36:A43"/>
  </sortState>
  <dataConsolidate/>
  <mergeCells count="114">
    <mergeCell ref="B90:C90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1:D71"/>
    <mergeCell ref="B73:C73"/>
    <mergeCell ref="B74:C74"/>
    <mergeCell ref="B75:C75"/>
    <mergeCell ref="B76:C76"/>
    <mergeCell ref="B77:C77"/>
    <mergeCell ref="A61:D61"/>
    <mergeCell ref="H61:I61"/>
    <mergeCell ref="B64:D64"/>
    <mergeCell ref="B65:D65"/>
    <mergeCell ref="B69:D69"/>
    <mergeCell ref="B70:D70"/>
    <mergeCell ref="A57:D57"/>
    <mergeCell ref="H57:J57"/>
    <mergeCell ref="A59:D59"/>
    <mergeCell ref="H59:I59"/>
    <mergeCell ref="A60:D60"/>
    <mergeCell ref="H60:I60"/>
    <mergeCell ref="A54:D54"/>
    <mergeCell ref="H54:J54"/>
    <mergeCell ref="A55:D55"/>
    <mergeCell ref="H55:J55"/>
    <mergeCell ref="A56:D56"/>
    <mergeCell ref="H56:J56"/>
    <mergeCell ref="A51:D51"/>
    <mergeCell ref="H51:J51"/>
    <mergeCell ref="A52:D52"/>
    <mergeCell ref="H52:J52"/>
    <mergeCell ref="A53:D53"/>
    <mergeCell ref="H53:J53"/>
    <mergeCell ref="A48:D48"/>
    <mergeCell ref="H48:J48"/>
    <mergeCell ref="A49:D49"/>
    <mergeCell ref="H49:J49"/>
    <mergeCell ref="A50:D50"/>
    <mergeCell ref="H50:J50"/>
    <mergeCell ref="A37:D37"/>
    <mergeCell ref="H37:J37"/>
    <mergeCell ref="A38:D38"/>
    <mergeCell ref="H38:J38"/>
    <mergeCell ref="A45:D45"/>
    <mergeCell ref="H45:J45"/>
    <mergeCell ref="A46:D46"/>
    <mergeCell ref="H46:J46"/>
    <mergeCell ref="A47:D47"/>
    <mergeCell ref="H47:J47"/>
    <mergeCell ref="A42:D42"/>
    <mergeCell ref="H42:J42"/>
    <mergeCell ref="A43:D43"/>
    <mergeCell ref="H43:J43"/>
    <mergeCell ref="A44:D44"/>
    <mergeCell ref="H44:J44"/>
    <mergeCell ref="H32:J32"/>
    <mergeCell ref="A33:D33"/>
    <mergeCell ref="H33:J33"/>
    <mergeCell ref="A34:D34"/>
    <mergeCell ref="H34:J34"/>
    <mergeCell ref="H35:J35"/>
    <mergeCell ref="R14:R18"/>
    <mergeCell ref="S14:Z18"/>
    <mergeCell ref="R21:Z76"/>
    <mergeCell ref="B29:D29"/>
    <mergeCell ref="H29:J29"/>
    <mergeCell ref="A30:D30"/>
    <mergeCell ref="H30:J30"/>
    <mergeCell ref="A31:D31"/>
    <mergeCell ref="H31:J31"/>
    <mergeCell ref="A32:D32"/>
    <mergeCell ref="A39:D39"/>
    <mergeCell ref="H39:J39"/>
    <mergeCell ref="A40:D40"/>
    <mergeCell ref="H40:J40"/>
    <mergeCell ref="A41:D41"/>
    <mergeCell ref="H41:J41"/>
    <mergeCell ref="A36:D36"/>
    <mergeCell ref="H36:J36"/>
    <mergeCell ref="G11:H11"/>
    <mergeCell ref="K11:L11"/>
    <mergeCell ref="S11:Z11"/>
    <mergeCell ref="G12:O12"/>
    <mergeCell ref="S12:Z12"/>
    <mergeCell ref="S13:Z13"/>
    <mergeCell ref="G9:I9"/>
    <mergeCell ref="K9:M9"/>
    <mergeCell ref="S9:Z9"/>
    <mergeCell ref="G10:H10"/>
    <mergeCell ref="K10:M10"/>
    <mergeCell ref="S10:Z10"/>
    <mergeCell ref="S7:Z8"/>
    <mergeCell ref="R7:R8"/>
    <mergeCell ref="G5:I5"/>
    <mergeCell ref="H6:N6"/>
    <mergeCell ref="G7:I7"/>
    <mergeCell ref="G8:I8"/>
    <mergeCell ref="K8:M8"/>
    <mergeCell ref="B2:D2"/>
    <mergeCell ref="F2:H2"/>
    <mergeCell ref="I2:M2"/>
    <mergeCell ref="G3:J3"/>
    <mergeCell ref="G4:I4"/>
    <mergeCell ref="K4:L4"/>
  </mergeCells>
  <conditionalFormatting sqref="B14">
    <cfRule type="expression" dxfId="17" priority="6">
      <formula>ABS($J$14-6) &gt; 6</formula>
    </cfRule>
  </conditionalFormatting>
  <conditionalFormatting sqref="E2">
    <cfRule type="expression" dxfId="16" priority="4">
      <formula>$E$2&lt;0</formula>
    </cfRule>
  </conditionalFormatting>
  <conditionalFormatting sqref="E15:E17">
    <cfRule type="expression" dxfId="15" priority="1">
      <formula>AND($B$4=0,E15&lt;0)</formula>
    </cfRule>
  </conditionalFormatting>
  <conditionalFormatting sqref="K5 K30:K34 K36:K57 K59:K61 K64:K67 K73:K90">
    <cfRule type="expression" dxfId="14" priority="5">
      <formula>K5&gt;$O$2</formula>
    </cfRule>
  </conditionalFormatting>
  <conditionalFormatting sqref="L57">
    <cfRule type="expression" dxfId="13" priority="2">
      <formula>L57&gt;$O$2</formula>
    </cfRule>
  </conditionalFormatting>
  <conditionalFormatting sqref="L67">
    <cfRule type="expression" dxfId="12" priority="3">
      <formula>L67&lt;0</formula>
    </cfRule>
  </conditionalFormatting>
  <dataValidations count="20">
    <dataValidation type="whole" allowBlank="1" showInputMessage="1" showErrorMessage="1" error="Must be a negative number no less than a 50% of the base hits" sqref="B11" xr:uid="{21EEAC61-E88D-45C1-A304-A5D485EB525A}">
      <formula1>-J4/2</formula1>
      <formula2>0</formula2>
    </dataValidation>
    <dataValidation type="whole" allowBlank="1" showInputMessage="1" showErrorMessage="1" error="Must be whole number. No more than 50% of slots may be used for Resiliency" sqref="B10" xr:uid="{D2A93462-7F9D-4C43-91C1-59598CCCACB6}">
      <formula1>0</formula1>
      <formula2>E4/2</formula2>
    </dataValidation>
    <dataValidation type="whole" allowBlank="1" showInputMessage="1" showErrorMessage="1" sqref="E11" xr:uid="{35067312-7734-4AB5-B4F8-F481C4997FF8}">
      <formula1>0</formula1>
      <formula2>J4/2</formula2>
    </dataValidation>
    <dataValidation type="list" allowBlank="1" showInputMessage="1" showErrorMessage="1" error="Maximum = 3" sqref="B9" xr:uid="{C5CD6113-C824-4B9D-8573-674BC1AD6F3A}">
      <formula1>"0,1,2,3"</formula1>
    </dataValidation>
    <dataValidation type="list" allowBlank="1" showInputMessage="1" showErrorMessage="1" sqref="B4" xr:uid="{C7BD6C14-6530-4CE7-BCD5-DE9D9432E957}">
      <formula1>"0,1,2,3,4,5,6,7,8"</formula1>
    </dataValidation>
    <dataValidation type="list" allowBlank="1" showInputMessage="1" showErrorMessage="1" sqref="O2" xr:uid="{F95578CE-8FE3-47AA-865B-BC7D2A262D07}">
      <formula1>"7,8,9,10,11,12,13,14,15,16,17,18"</formula1>
    </dataValidation>
    <dataValidation type="whole" allowBlank="1" showInputMessage="1" showErrorMessage="1" error="Max Manipulator Size = Chassis Size +2_x000a_Min Manipulator Size = 0_x000a_Whole Numbers Only" sqref="B19:B26" xr:uid="{1D70158E-B059-40F1-AA03-48564FD1BC44}">
      <formula1>0</formula1>
      <formula2>$B$4+2</formula2>
    </dataValidation>
    <dataValidation type="list" allowBlank="1" showInputMessage="1" showErrorMessage="1" sqref="B27:B28 B67 B8" xr:uid="{FB5D00D7-9414-43B3-967D-0655117DA75F}">
      <formula1>"TRUE,FALSE"</formula1>
    </dataValidation>
    <dataValidation type="list" allowBlank="1" showInputMessage="1" showErrorMessage="1" sqref="B13" xr:uid="{6BCF58AF-726D-4A37-90E0-D8241CBC0492}">
      <formula1>"0,1,2,3,4"</formula1>
    </dataValidation>
    <dataValidation type="list" allowBlank="1" showInputMessage="1" showErrorMessage="1" sqref="B66 D73:D90" xr:uid="{0FA1C2AB-D036-4105-960D-69563CA0005B}">
      <formula1>"0,1,2,3"</formula1>
    </dataValidation>
    <dataValidation type="list" allowBlank="1" showInputMessage="1" showErrorMessage="1" sqref="B15" xr:uid="{7D3400CC-E9B5-43FE-B4CF-CDB8AEEAF506}">
      <formula1>"FALSE,TRUE"</formula1>
    </dataValidation>
    <dataValidation type="list" allowBlank="1" showInputMessage="1" showErrorMessage="1" sqref="B16" xr:uid="{4F1D7484-D4A6-4A0C-813D-AD3089696AB7}">
      <formula1>"No,1X,2X,3X"</formula1>
    </dataValidation>
    <dataValidation type="whole" allowBlank="1" showInputMessage="1" showErrorMessage="1" error="Must be whole number between -6 and +12" sqref="B14" xr:uid="{32C802AC-DEE5-4C15-940C-FBA5051BD3F5}">
      <formula1>-6</formula1>
      <formula2>12</formula2>
    </dataValidation>
    <dataValidation type="whole" allowBlank="1" showInputMessage="1" showErrorMessage="1" sqref="C11:D11" xr:uid="{5E4B7AA6-08EE-4D8A-B5F7-725F85D4462F}">
      <formula1>0</formula1>
      <formula2>D4/2</formula2>
    </dataValidation>
    <dataValidation type="whole" allowBlank="1" showInputMessage="1" showErrorMessage="1" sqref="C13:D13" xr:uid="{95EAADC8-6C31-4A26-90CD-6844FED5D33E}">
      <formula1>0</formula1>
      <formula2>D5/2</formula2>
    </dataValidation>
    <dataValidation type="whole" allowBlank="1" showInputMessage="1" showErrorMessage="1" sqref="C14:D14" xr:uid="{DEEC8B54-220A-463B-9855-67CDD40D7844}">
      <formula1>0</formula1>
      <formula2>D15/2</formula2>
    </dataValidation>
    <dataValidation type="whole" allowBlank="1" showInputMessage="1" showErrorMessage="1" sqref="E13:E14" xr:uid="{A5F626CE-EC4B-476F-ADFA-118E43D8749F}">
      <formula1>0</formula1>
      <formula2>#REF!/2</formula2>
    </dataValidation>
    <dataValidation type="whole" allowBlank="1" showInputMessage="1" showErrorMessage="1" error="Max STR = Lesser of Size + TL or SIZE X 4" sqref="G19:G28" xr:uid="{79F3A49E-7CCB-4E61-8C8D-D4C5A47A663F}">
      <formula1>0</formula1>
      <formula2>F19-C19</formula2>
    </dataValidation>
    <dataValidation type="whole" allowBlank="1" showInputMessage="1" showErrorMessage="1" error="Max DEX = TL+3" sqref="K19:K28" xr:uid="{AB6B42A7-61FA-4207-BA7A-BA327AADB00E}">
      <formula1>0</formula1>
      <formula2>J19-D19</formula2>
    </dataValidation>
    <dataValidation type="whole" allowBlank="1" showInputMessage="1" showErrorMessage="1" error="Total Armour cannot exceed Maximum" sqref="B7" xr:uid="{C916B84A-D768-48F2-9C10-6D4B0519D7A3}">
      <formula1>-1</formula1>
      <formula2>L7-MID(A7,18,1)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2596B542-948B-4F1B-A3A9-8F1FFEACD4D3}">
          <x14:formula1>
            <xm:f>Brains!$B$3:$B$19</xm:f>
          </x14:formula1>
          <xm:sqref>B64</xm:sqref>
        </x14:dataValidation>
        <x14:dataValidation type="list" allowBlank="1" showInputMessage="1" showErrorMessage="1" xr:uid="{8617CDB9-8DDE-4E34-B1B3-992F9A338D26}">
          <x14:formula1>
            <xm:f>Brains!$K$3:$K$16</xm:f>
          </x14:formula1>
          <xm:sqref>B65</xm:sqref>
        </x14:dataValidation>
        <x14:dataValidation type="list" allowBlank="1" showInputMessage="1" showErrorMessage="1" xr:uid="{2C7CB658-DB7F-439F-858D-49A819904CC5}">
          <x14:formula1>
            <xm:f>Packages!$B$29:$B$68</xm:f>
          </x14:formula1>
          <xm:sqref>A73:A90</xm:sqref>
        </x14:dataValidation>
        <x14:dataValidation type="list" allowBlank="1" showInputMessage="1" showErrorMessage="1" xr:uid="{BE1E3C48-A064-4695-AC7A-1A00694E5A3B}">
          <x14:formula1>
            <xm:f>Options!$C$9:$C$251</xm:f>
          </x14:formula1>
          <xm:sqref>A36:A56</xm:sqref>
        </x14:dataValidation>
        <x14:dataValidation type="list" allowBlank="1" showInputMessage="1" showErrorMessage="1" xr:uid="{1097B6F3-B26F-410C-8305-303E5E416CB9}">
          <x14:formula1>
            <xm:f>Options!$C$9:$C$71</xm:f>
          </x14:formula1>
          <xm:sqref>A30:A34</xm:sqref>
        </x14:dataValidation>
        <x14:dataValidation type="list" allowBlank="1" showInputMessage="1" showErrorMessage="1" xr:uid="{995E7A37-47F9-4702-9DB9-7D2BC30EC7AE}">
          <x14:formula1>
            <xm:f>Chassis!$H$3:$H$13</xm:f>
          </x14:formula1>
          <xm:sqref>B17 B5</xm:sqref>
        </x14:dataValidation>
        <x14:dataValidation type="list" allowBlank="1" showInputMessage="1" showErrorMessage="1" xr:uid="{F923F58C-2098-4940-AD4A-4F14EB48D1A5}">
          <x14:formula1>
            <xm:f>Packages!$B$11:$B$19</xm:f>
          </x14:formula1>
          <xm:sqref>B70</xm:sqref>
        </x14:dataValidation>
        <x14:dataValidation type="list" allowBlank="1" showInputMessage="1" showErrorMessage="1" xr:uid="{F4670C0E-CD6A-420D-94F4-1DA33229F3D7}">
          <x14:formula1>
            <xm:f>Packages!$B$3:$B$7</xm:f>
          </x14:formula1>
          <xm:sqref>B69</xm:sqref>
        </x14:dataValidation>
        <x14:dataValidation type="list" allowBlank="1" showInputMessage="1" showErrorMessage="1" xr:uid="{1D245FE8-7320-4300-99F0-B627AF63CBCB}">
          <x14:formula1>
            <xm:f>Packages!$B$23:$B$25</xm:f>
          </x14:formula1>
          <xm:sqref>B71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Instructions</vt:lpstr>
      <vt:lpstr>Summary</vt:lpstr>
      <vt:lpstr>Blank</vt:lpstr>
      <vt:lpstr>Micro</vt:lpstr>
      <vt:lpstr>Chassis</vt:lpstr>
      <vt:lpstr>Brains</vt:lpstr>
      <vt:lpstr>Options</vt:lpstr>
      <vt:lpstr>Packages</vt:lpstr>
      <vt:lpstr>Notes</vt:lpstr>
      <vt:lpstr>Basic Admin Droid</vt:lpstr>
      <vt:lpstr>Improved Admin Droid</vt:lpstr>
      <vt:lpstr>Enhanced Admin Droid</vt:lpstr>
      <vt:lpstr>Advanced Admin Droid</vt:lpstr>
      <vt:lpstr>Basic Broker Droid</vt:lpstr>
      <vt:lpstr>Improved Broker Droid</vt:lpstr>
      <vt:lpstr>Enhanced Broker Droid</vt:lpstr>
      <vt:lpstr>Advanced Broker Droid</vt:lpstr>
      <vt:lpstr>Advanced Plus Broker Droid</vt:lpstr>
      <vt:lpstr>Basic Engineer Droid</vt:lpstr>
      <vt:lpstr>Improved Engineer Droid </vt:lpstr>
      <vt:lpstr>Enhanced Engineer Droid</vt:lpstr>
      <vt:lpstr>Advanced Engineer Droid</vt:lpstr>
      <vt:lpstr>Advanced Engineer Plus Droid</vt:lpstr>
      <vt:lpstr>Basic Gunner Droid</vt:lpstr>
      <vt:lpstr>Improved Gunner Droid</vt:lpstr>
      <vt:lpstr>Enhanced Gunner Droid</vt:lpstr>
      <vt:lpstr>Advanced Gunner Droid</vt:lpstr>
      <vt:lpstr>Basic Mechanic Droid</vt:lpstr>
      <vt:lpstr>Improved Mechanic Droid</vt:lpstr>
      <vt:lpstr>Enhanced Mechanic Droid</vt:lpstr>
      <vt:lpstr>Advanced Mechanic Droid</vt:lpstr>
      <vt:lpstr>Basic Medic Droid</vt:lpstr>
      <vt:lpstr>Improved Medic Droid</vt:lpstr>
      <vt:lpstr>Enhanced Medic Droid</vt:lpstr>
      <vt:lpstr>Advanced Medic Droid</vt:lpstr>
      <vt:lpstr>Basic Pilot Brain</vt:lpstr>
      <vt:lpstr>Improved Pilot Brain</vt:lpstr>
      <vt:lpstr>Enhanced Pilot Brain</vt:lpstr>
      <vt:lpstr>Advanced Pilot Brain</vt:lpstr>
      <vt:lpstr>Basic Steward Droid</vt:lpstr>
      <vt:lpstr>Improved Steward Droid</vt:lpstr>
      <vt:lpstr>Enhanced Steward Droid</vt:lpstr>
      <vt:lpstr>Advanced Steward Droid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Lanesskog</dc:creator>
  <cp:lastModifiedBy>Terry Mixon</cp:lastModifiedBy>
  <dcterms:created xsi:type="dcterms:W3CDTF">2020-12-30T20:59:36Z</dcterms:created>
  <dcterms:modified xsi:type="dcterms:W3CDTF">2025-08-27T03:08:10Z</dcterms:modified>
</cp:coreProperties>
</file>